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785" yWindow="570" windowWidth="12000" windowHeight="6420" tabRatio="959" activeTab="5"/>
  </bookViews>
  <sheets>
    <sheet name="Фінплан - зведені показники" sheetId="14" r:id="rId1"/>
    <sheet name="1.Фінансовий результат" sheetId="2" r:id="rId2"/>
    <sheet name="2. Розрахунки з бюджетом" sheetId="19" r:id="rId3"/>
    <sheet name="3. Рух грошових коштів" sheetId="18" r:id="rId4"/>
    <sheet name="4. Кап. інвестиції" sheetId="3" r:id="rId5"/>
    <sheet name="5. Інша інформація" sheetId="10" r:id="rId6"/>
    <sheet name="Перелік посад" sheetId="20" state="hidden" r:id="rId7"/>
    <sheet name="Вих дані" sheetId="21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1">'1.Фінансовий результат'!$6:$6</definedName>
    <definedName name="_xlnm.Print_Titles" localSheetId="2">'2. Розрахунки з бюджетом'!$6:$6</definedName>
    <definedName name="_xlnm.Print_Titles" localSheetId="3">'3. Рух грошових коштів'!$6:$6</definedName>
    <definedName name="_xlnm.Print_Titles" localSheetId="0">'Фінплан - зведені показники'!$15:$15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'1.Фінансовий результат'!$A$1:$J$132</definedName>
    <definedName name="_xlnm.Print_Area" localSheetId="2">'2. Розрахунки з бюджетом'!$A$1:$J$44</definedName>
    <definedName name="_xlnm.Print_Area" localSheetId="3">'3. Рух грошових коштів'!$A$1:$J$84</definedName>
    <definedName name="_xlnm.Print_Area" localSheetId="4">'4. Кап. інвестиції'!$A$1:$J$39</definedName>
    <definedName name="_xlnm.Print_Area" localSheetId="5">'5. Інша інформація'!$A$1:$AC$119</definedName>
    <definedName name="_xlnm.Print_Area" localSheetId="7">'Вих дані'!$A$1:$K$21</definedName>
    <definedName name="_xlnm.Print_Area" localSheetId="0">'Фінплан - зведені показники'!$A$1:$J$54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5725"/>
</workbook>
</file>

<file path=xl/calcChain.xml><?xml version="1.0" encoding="utf-8"?>
<calcChain xmlns="http://schemas.openxmlformats.org/spreadsheetml/2006/main">
  <c r="R101" i="10"/>
  <c r="S101"/>
  <c r="N101"/>
  <c r="M101"/>
  <c r="Q104"/>
  <c r="R104"/>
  <c r="S104"/>
  <c r="O102"/>
  <c r="O103"/>
  <c r="O101"/>
  <c r="Q101"/>
  <c r="P101"/>
  <c r="J101" l="1"/>
  <c r="F20" i="3"/>
  <c r="F19" i="2"/>
  <c r="H19"/>
  <c r="I19"/>
  <c r="J19"/>
  <c r="G19"/>
  <c r="E123"/>
  <c r="F41"/>
  <c r="F29"/>
  <c r="M11" i="21"/>
  <c r="F47" i="2"/>
  <c r="G49" i="18"/>
  <c r="H49"/>
  <c r="I49"/>
  <c r="J49"/>
  <c r="F49"/>
  <c r="G43"/>
  <c r="H43"/>
  <c r="I43"/>
  <c r="J43"/>
  <c r="F43"/>
  <c r="G45"/>
  <c r="H45"/>
  <c r="I45"/>
  <c r="J45"/>
  <c r="F45"/>
  <c r="G42"/>
  <c r="H42"/>
  <c r="I42"/>
  <c r="J42"/>
  <c r="F42"/>
  <c r="K101" i="10"/>
  <c r="L101"/>
  <c r="I79"/>
  <c r="K40"/>
  <c r="J40"/>
  <c r="J41"/>
  <c r="AC101" l="1"/>
  <c r="AA101"/>
  <c r="AB101"/>
  <c r="Z101"/>
  <c r="H41"/>
  <c r="H42"/>
  <c r="H43"/>
  <c r="F41" l="1"/>
  <c r="F42"/>
  <c r="F43"/>
  <c r="F40"/>
  <c r="D41"/>
  <c r="D42"/>
  <c r="D43"/>
  <c r="E26"/>
  <c r="D25"/>
  <c r="E25"/>
  <c r="F25"/>
  <c r="F18"/>
  <c r="F17"/>
  <c r="D22" l="1"/>
  <c r="D26"/>
  <c r="F26" s="1"/>
  <c r="D21"/>
  <c r="P21"/>
  <c r="P20"/>
  <c r="P19"/>
  <c r="P18"/>
  <c r="P17"/>
  <c r="P14"/>
  <c r="P15" s="1"/>
  <c r="P13"/>
  <c r="P12"/>
  <c r="P11"/>
  <c r="P16"/>
  <c r="C20"/>
  <c r="C16"/>
  <c r="C19" s="1"/>
  <c r="C31" s="1"/>
  <c r="D9"/>
  <c r="E9"/>
  <c r="C9"/>
  <c r="B20"/>
  <c r="B16"/>
  <c r="B30"/>
  <c r="B29"/>
  <c r="B26"/>
  <c r="B25"/>
  <c r="B22"/>
  <c r="B9"/>
  <c r="B28" s="1"/>
  <c r="C19" i="3"/>
  <c r="B23" i="10" l="1"/>
  <c r="B19"/>
  <c r="B24"/>
  <c r="B31" l="1"/>
  <c r="B27"/>
  <c r="D33" i="3" l="1"/>
  <c r="E33"/>
  <c r="F33"/>
  <c r="Y103" i="10" s="1"/>
  <c r="G33" i="3"/>
  <c r="P103" i="10" s="1"/>
  <c r="Z103" s="1"/>
  <c r="H33" i="3"/>
  <c r="Q103" i="10" s="1"/>
  <c r="AA103" s="1"/>
  <c r="I33" i="3"/>
  <c r="R103" i="10" s="1"/>
  <c r="AB103" s="1"/>
  <c r="J33" i="3"/>
  <c r="S103" i="10" s="1"/>
  <c r="AC103" s="1"/>
  <c r="C33" i="3"/>
  <c r="E28"/>
  <c r="G28"/>
  <c r="P102" i="10" s="1"/>
  <c r="Z102" s="1"/>
  <c r="H28" i="3"/>
  <c r="Q102" i="10" s="1"/>
  <c r="AA102" s="1"/>
  <c r="I28" i="3"/>
  <c r="R102" i="10" s="1"/>
  <c r="AB102" s="1"/>
  <c r="J28" i="3"/>
  <c r="S102" i="10" s="1"/>
  <c r="AC102" s="1"/>
  <c r="C28" i="3"/>
  <c r="D8"/>
  <c r="E8"/>
  <c r="C8"/>
  <c r="G19"/>
  <c r="H19"/>
  <c r="I19"/>
  <c r="J19"/>
  <c r="F19"/>
  <c r="F27"/>
  <c r="Y101" i="10" s="1"/>
  <c r="J8" i="3"/>
  <c r="N100" i="10" s="1"/>
  <c r="AC100" s="1"/>
  <c r="G8" i="3"/>
  <c r="K100" i="10" s="1"/>
  <c r="Z100" s="1"/>
  <c r="H18" i="3" l="1"/>
  <c r="I18" l="1"/>
  <c r="I8" s="1"/>
  <c r="M100" i="10" s="1"/>
  <c r="AB100" s="1"/>
  <c r="H8" i="3"/>
  <c r="L100" i="10" s="1"/>
  <c r="AA100" s="1"/>
  <c r="C63" i="18"/>
  <c r="J39"/>
  <c r="I39"/>
  <c r="H39"/>
  <c r="G39"/>
  <c r="G30"/>
  <c r="H30" s="1"/>
  <c r="I30" s="1"/>
  <c r="J30" s="1"/>
  <c r="G29"/>
  <c r="J25"/>
  <c r="I25"/>
  <c r="H25"/>
  <c r="G25"/>
  <c r="J24"/>
  <c r="I24"/>
  <c r="H24"/>
  <c r="G24"/>
  <c r="J22" l="1"/>
  <c r="I22"/>
  <c r="H22"/>
  <c r="G22"/>
  <c r="F29"/>
  <c r="E19"/>
  <c r="E61"/>
  <c r="E39"/>
  <c r="E31"/>
  <c r="E29"/>
  <c r="E30"/>
  <c r="E28"/>
  <c r="E27"/>
  <c r="E26"/>
  <c r="E25"/>
  <c r="E22" l="1"/>
  <c r="D32"/>
  <c r="D61" l="1"/>
  <c r="D49"/>
  <c r="D18"/>
  <c r="C32"/>
  <c r="C51"/>
  <c r="C49"/>
  <c r="C39" i="19"/>
  <c r="C30"/>
  <c r="C19"/>
  <c r="C18"/>
  <c r="G35"/>
  <c r="H35" s="1"/>
  <c r="I35" s="1"/>
  <c r="J35" s="1"/>
  <c r="J34"/>
  <c r="I34"/>
  <c r="H34"/>
  <c r="G34"/>
  <c r="G33"/>
  <c r="I33" s="1"/>
  <c r="J33" s="1"/>
  <c r="G32"/>
  <c r="I32" s="1"/>
  <c r="J32" s="1"/>
  <c r="F30"/>
  <c r="G31"/>
  <c r="I31" s="1"/>
  <c r="J31" s="1"/>
  <c r="J26"/>
  <c r="I26"/>
  <c r="H26"/>
  <c r="G26"/>
  <c r="J20"/>
  <c r="I20"/>
  <c r="H20"/>
  <c r="G20"/>
  <c r="J9"/>
  <c r="I9"/>
  <c r="H9"/>
  <c r="G9"/>
  <c r="E35"/>
  <c r="E34"/>
  <c r="E32"/>
  <c r="E26"/>
  <c r="E20"/>
  <c r="E8"/>
  <c r="D30"/>
  <c r="C16"/>
  <c r="F124" i="2"/>
  <c r="F27" i="18" s="1"/>
  <c r="F123" i="2"/>
  <c r="F26" i="18" s="1"/>
  <c r="F121" i="2"/>
  <c r="F120" s="1"/>
  <c r="F122"/>
  <c r="G122" s="1"/>
  <c r="H122" s="1"/>
  <c r="I122" s="1"/>
  <c r="J122" s="1"/>
  <c r="G107"/>
  <c r="I107" s="1"/>
  <c r="G25"/>
  <c r="H25" s="1"/>
  <c r="I25"/>
  <c r="G105"/>
  <c r="I105" s="1"/>
  <c r="G104"/>
  <c r="J104" s="1"/>
  <c r="G101"/>
  <c r="H101" s="1"/>
  <c r="E83"/>
  <c r="G93"/>
  <c r="H93" s="1"/>
  <c r="G81"/>
  <c r="H81" s="1"/>
  <c r="C73"/>
  <c r="D73"/>
  <c r="E73"/>
  <c r="E51" s="1"/>
  <c r="G46"/>
  <c r="H46" s="1"/>
  <c r="D34"/>
  <c r="E34"/>
  <c r="E19" s="1"/>
  <c r="C34"/>
  <c r="F34"/>
  <c r="F31"/>
  <c r="F18"/>
  <c r="J43" i="10" s="1"/>
  <c r="G31" i="2"/>
  <c r="H31" s="1"/>
  <c r="D15" i="21"/>
  <c r="B15"/>
  <c r="B8"/>
  <c r="H107" i="2" l="1"/>
  <c r="J107"/>
  <c r="G124"/>
  <c r="H124" s="1"/>
  <c r="I124" s="1"/>
  <c r="J124" s="1"/>
  <c r="G123"/>
  <c r="H123" s="1"/>
  <c r="I123" s="1"/>
  <c r="J123" s="1"/>
  <c r="I101"/>
  <c r="F39" i="19"/>
  <c r="H31"/>
  <c r="H33"/>
  <c r="H32"/>
  <c r="J25" i="2"/>
  <c r="H105"/>
  <c r="J105"/>
  <c r="I104"/>
  <c r="H104"/>
  <c r="J101"/>
  <c r="I93"/>
  <c r="J93"/>
  <c r="I81"/>
  <c r="J81"/>
  <c r="I46"/>
  <c r="J46"/>
  <c r="I31"/>
  <c r="J31"/>
  <c r="G103"/>
  <c r="I103" s="1"/>
  <c r="G100"/>
  <c r="I100" s="1"/>
  <c r="G95"/>
  <c r="I95" s="1"/>
  <c r="G29"/>
  <c r="I29" s="1"/>
  <c r="I47"/>
  <c r="G92"/>
  <c r="I92" s="1"/>
  <c r="G91"/>
  <c r="I91" s="1"/>
  <c r="G90"/>
  <c r="I90" s="1"/>
  <c r="G89"/>
  <c r="I89" s="1"/>
  <c r="G88"/>
  <c r="G87"/>
  <c r="I87" s="1"/>
  <c r="G86"/>
  <c r="I86" s="1"/>
  <c r="G80"/>
  <c r="I80" s="1"/>
  <c r="G79"/>
  <c r="I79" s="1"/>
  <c r="G78"/>
  <c r="I78" s="1"/>
  <c r="G77"/>
  <c r="I77" s="1"/>
  <c r="G76"/>
  <c r="I76" s="1"/>
  <c r="G75"/>
  <c r="I75" s="1"/>
  <c r="G74"/>
  <c r="G70"/>
  <c r="I70" s="1"/>
  <c r="G68"/>
  <c r="I68" s="1"/>
  <c r="G67"/>
  <c r="J67" s="1"/>
  <c r="G66"/>
  <c r="I66" s="1"/>
  <c r="G65"/>
  <c r="I65" s="1"/>
  <c r="G61"/>
  <c r="I61" s="1"/>
  <c r="G60"/>
  <c r="I60" s="1"/>
  <c r="G59"/>
  <c r="I59" s="1"/>
  <c r="G57"/>
  <c r="I57" s="1"/>
  <c r="G55"/>
  <c r="I55" s="1"/>
  <c r="G52"/>
  <c r="I52" s="1"/>
  <c r="G50"/>
  <c r="I50" s="1"/>
  <c r="G37"/>
  <c r="I37" s="1"/>
  <c r="G36"/>
  <c r="J36" s="1"/>
  <c r="G35"/>
  <c r="I35" s="1"/>
  <c r="G33"/>
  <c r="I33" s="1"/>
  <c r="G30"/>
  <c r="I30" s="1"/>
  <c r="G28"/>
  <c r="I28" s="1"/>
  <c r="G27"/>
  <c r="I27" s="1"/>
  <c r="G26"/>
  <c r="I26" s="1"/>
  <c r="G21"/>
  <c r="I21" s="1"/>
  <c r="G21" i="21"/>
  <c r="B21"/>
  <c r="F21" s="1"/>
  <c r="A21"/>
  <c r="H103" i="2" l="1"/>
  <c r="I74"/>
  <c r="I73" s="1"/>
  <c r="G73"/>
  <c r="I88"/>
  <c r="I83" s="1"/>
  <c r="G83"/>
  <c r="H50"/>
  <c r="J50"/>
  <c r="H86"/>
  <c r="J103"/>
  <c r="J86"/>
  <c r="H100"/>
  <c r="J100"/>
  <c r="H95"/>
  <c r="J95"/>
  <c r="H29"/>
  <c r="J29"/>
  <c r="H47"/>
  <c r="J47"/>
  <c r="H92"/>
  <c r="J92"/>
  <c r="H91"/>
  <c r="J91"/>
  <c r="H90"/>
  <c r="J90"/>
  <c r="H89"/>
  <c r="J89"/>
  <c r="H88"/>
  <c r="J88"/>
  <c r="H87"/>
  <c r="J87"/>
  <c r="H80"/>
  <c r="J80"/>
  <c r="H79"/>
  <c r="J79"/>
  <c r="H78"/>
  <c r="J78"/>
  <c r="H77"/>
  <c r="J77"/>
  <c r="H76"/>
  <c r="J76"/>
  <c r="H75"/>
  <c r="J75"/>
  <c r="H74"/>
  <c r="H73" s="1"/>
  <c r="J74"/>
  <c r="J73" s="1"/>
  <c r="H70"/>
  <c r="J70"/>
  <c r="H68"/>
  <c r="J68"/>
  <c r="I67"/>
  <c r="H67"/>
  <c r="H66"/>
  <c r="J66"/>
  <c r="H65"/>
  <c r="J65"/>
  <c r="H61"/>
  <c r="J61"/>
  <c r="H60"/>
  <c r="J60"/>
  <c r="H59"/>
  <c r="J59"/>
  <c r="H57"/>
  <c r="J57"/>
  <c r="H55"/>
  <c r="J55"/>
  <c r="H52"/>
  <c r="J52"/>
  <c r="H37"/>
  <c r="J37"/>
  <c r="I36"/>
  <c r="H36"/>
  <c r="H35"/>
  <c r="J35"/>
  <c r="H33"/>
  <c r="J33"/>
  <c r="H30"/>
  <c r="J30"/>
  <c r="H28"/>
  <c r="J28"/>
  <c r="H27"/>
  <c r="J27"/>
  <c r="H26"/>
  <c r="J26"/>
  <c r="H21"/>
  <c r="J21"/>
  <c r="G22"/>
  <c r="I22" s="1"/>
  <c r="F19" i="21"/>
  <c r="G19" s="1"/>
  <c r="G10" i="2"/>
  <c r="I10" s="1"/>
  <c r="G15"/>
  <c r="I15" s="1"/>
  <c r="F16" i="21"/>
  <c r="G18" i="2"/>
  <c r="J18" s="1"/>
  <c r="G16" i="21"/>
  <c r="E121" i="2"/>
  <c r="E124"/>
  <c r="E125"/>
  <c r="E122"/>
  <c r="E14"/>
  <c r="D12"/>
  <c r="D14"/>
  <c r="C20"/>
  <c r="H83" l="1"/>
  <c r="J83"/>
  <c r="E120"/>
  <c r="D20" i="10"/>
  <c r="D16"/>
  <c r="I18" i="2"/>
  <c r="H18"/>
  <c r="H22"/>
  <c r="J22"/>
  <c r="H10"/>
  <c r="J10"/>
  <c r="H15"/>
  <c r="J15"/>
  <c r="G114" i="10"/>
  <c r="G115" s="1"/>
  <c r="D19" i="3"/>
  <c r="F115" i="10"/>
  <c r="P104"/>
  <c r="M104"/>
  <c r="N104" l="1"/>
  <c r="F9" i="3" l="1"/>
  <c r="K104" i="10"/>
  <c r="L104"/>
  <c r="E19" i="3"/>
  <c r="F8" l="1"/>
  <c r="J100" i="10" s="1"/>
  <c r="J104" s="1"/>
  <c r="E8" i="2"/>
  <c r="E15"/>
  <c r="H40" i="10" s="1"/>
  <c r="F11"/>
  <c r="F13"/>
  <c r="F14"/>
  <c r="F10"/>
  <c r="H29" i="18"/>
  <c r="I29"/>
  <c r="J29"/>
  <c r="H18" i="19" l="1"/>
  <c r="I18"/>
  <c r="J18"/>
  <c r="G18"/>
  <c r="C92" i="2"/>
  <c r="F56"/>
  <c r="F18" i="19" l="1"/>
  <c r="F83" i="2"/>
  <c r="H23"/>
  <c r="I23"/>
  <c r="J23"/>
  <c r="G23"/>
  <c r="H11"/>
  <c r="I11"/>
  <c r="J11"/>
  <c r="G11"/>
  <c r="E16" i="21"/>
  <c r="D12"/>
  <c r="E12" s="1"/>
  <c r="D14"/>
  <c r="F14" s="1"/>
  <c r="G14" s="1"/>
  <c r="D9"/>
  <c r="E9" s="1"/>
  <c r="D10"/>
  <c r="E10" s="1"/>
  <c r="D8"/>
  <c r="F8" s="1"/>
  <c r="G8" s="1"/>
  <c r="E64" i="10"/>
  <c r="F64" s="1"/>
  <c r="F63" s="1"/>
  <c r="F69" s="1"/>
  <c r="E14" i="21" l="1"/>
  <c r="F12"/>
  <c r="G12" s="1"/>
  <c r="F10"/>
  <c r="G10" s="1"/>
  <c r="D7"/>
  <c r="F9"/>
  <c r="G9" s="1"/>
  <c r="E8"/>
  <c r="E7" s="1"/>
  <c r="E63" i="10"/>
  <c r="E69" s="1"/>
  <c r="G16" i="2" l="1"/>
  <c r="H16"/>
  <c r="F7" i="21"/>
  <c r="G7" s="1"/>
  <c r="E22" i="10"/>
  <c r="F22" s="1"/>
  <c r="E21"/>
  <c r="F21" s="1"/>
  <c r="F29" i="3"/>
  <c r="F28" s="1"/>
  <c r="D7"/>
  <c r="E7"/>
  <c r="G71" i="18"/>
  <c r="H71"/>
  <c r="I71"/>
  <c r="J71"/>
  <c r="F71"/>
  <c r="G61"/>
  <c r="H61"/>
  <c r="I61"/>
  <c r="J61"/>
  <c r="G57"/>
  <c r="H57"/>
  <c r="I57"/>
  <c r="J57"/>
  <c r="F57"/>
  <c r="G34"/>
  <c r="H34"/>
  <c r="I34"/>
  <c r="J34"/>
  <c r="F34"/>
  <c r="D63"/>
  <c r="E34"/>
  <c r="E49" s="1"/>
  <c r="D31"/>
  <c r="D23"/>
  <c r="D17"/>
  <c r="Y102" i="10" l="1"/>
  <c r="O104"/>
  <c r="I16" i="2"/>
  <c r="J16"/>
  <c r="J51" i="18"/>
  <c r="I51"/>
  <c r="H51"/>
  <c r="G51"/>
  <c r="E57"/>
  <c r="C41" i="14"/>
  <c r="C43"/>
  <c r="C45"/>
  <c r="C35"/>
  <c r="C36"/>
  <c r="C38"/>
  <c r="C17"/>
  <c r="C18"/>
  <c r="C20"/>
  <c r="C21"/>
  <c r="C22"/>
  <c r="C23"/>
  <c r="C25"/>
  <c r="C26"/>
  <c r="C27"/>
  <c r="C28"/>
  <c r="C30"/>
  <c r="D22" i="19"/>
  <c r="D40" s="1"/>
  <c r="C34" i="14" l="1"/>
  <c r="F96" i="2"/>
  <c r="C118"/>
  <c r="C117"/>
  <c r="C99"/>
  <c r="F11"/>
  <c r="C48"/>
  <c r="C15"/>
  <c r="D40" i="10" s="1"/>
  <c r="C8" i="2"/>
  <c r="C9" s="1"/>
  <c r="F32"/>
  <c r="F23"/>
  <c r="F17"/>
  <c r="J42" i="10" s="1"/>
  <c r="E30" i="19"/>
  <c r="D49" i="2"/>
  <c r="D48"/>
  <c r="D32" l="1"/>
  <c r="C106"/>
  <c r="C19" i="14"/>
  <c r="C12" i="2"/>
  <c r="C127"/>
  <c r="D106"/>
  <c r="C7" i="3"/>
  <c r="C48" i="14" s="1"/>
  <c r="C24" l="1"/>
  <c r="C112" i="2"/>
  <c r="C8" i="18" s="1"/>
  <c r="D112" i="2"/>
  <c r="D115" s="1"/>
  <c r="C14" i="18" l="1"/>
  <c r="C29" i="14"/>
  <c r="C115" i="2"/>
  <c r="C31" i="14" s="1"/>
  <c r="H14" i="2"/>
  <c r="H8" s="1"/>
  <c r="H9" s="1"/>
  <c r="I14"/>
  <c r="I8" s="1"/>
  <c r="I9" s="1"/>
  <c r="J14"/>
  <c r="J8" s="1"/>
  <c r="J9" s="1"/>
  <c r="G14" l="1"/>
  <c r="G8" l="1"/>
  <c r="G9" s="1"/>
  <c r="E30" i="10"/>
  <c r="D30"/>
  <c r="C30"/>
  <c r="C26"/>
  <c r="C29"/>
  <c r="D29"/>
  <c r="C25"/>
  <c r="C23"/>
  <c r="E29"/>
  <c r="F29" l="1"/>
  <c r="F30"/>
  <c r="J32" i="3"/>
  <c r="I32" s="1"/>
  <c r="H32" s="1"/>
  <c r="G32" s="1"/>
  <c r="J7" l="1"/>
  <c r="I7"/>
  <c r="E20" i="2"/>
  <c r="G7" i="3" l="1"/>
  <c r="H7"/>
  <c r="D45" i="14"/>
  <c r="E45"/>
  <c r="F45"/>
  <c r="D43"/>
  <c r="E43"/>
  <c r="F43"/>
  <c r="D41"/>
  <c r="E41"/>
  <c r="D38"/>
  <c r="D36"/>
  <c r="E36"/>
  <c r="F36"/>
  <c r="D35"/>
  <c r="E35"/>
  <c r="D34"/>
  <c r="D33"/>
  <c r="D30"/>
  <c r="E30"/>
  <c r="D28"/>
  <c r="E28"/>
  <c r="F28"/>
  <c r="D27"/>
  <c r="E27"/>
  <c r="D26"/>
  <c r="E26"/>
  <c r="D25"/>
  <c r="E25"/>
  <c r="F25"/>
  <c r="D23"/>
  <c r="E23"/>
  <c r="D22"/>
  <c r="D21"/>
  <c r="E21"/>
  <c r="D18"/>
  <c r="E18"/>
  <c r="I80" i="10" l="1"/>
  <c r="J80"/>
  <c r="K80"/>
  <c r="L80"/>
  <c r="D44" l="1"/>
  <c r="G70" i="18" l="1"/>
  <c r="G63" s="1"/>
  <c r="H70"/>
  <c r="H63" s="1"/>
  <c r="I70"/>
  <c r="I63" s="1"/>
  <c r="J70"/>
  <c r="J63" s="1"/>
  <c r="E70"/>
  <c r="E63" s="1"/>
  <c r="E18"/>
  <c r="C18"/>
  <c r="C23"/>
  <c r="D42" i="14" l="1"/>
  <c r="E17" i="18"/>
  <c r="C17"/>
  <c r="C42" i="14"/>
  <c r="E51" i="18"/>
  <c r="E75" s="1"/>
  <c r="D51"/>
  <c r="D75" s="1"/>
  <c r="D80" s="1"/>
  <c r="E23"/>
  <c r="F70"/>
  <c r="F63" s="1"/>
  <c r="G30" i="19"/>
  <c r="H30"/>
  <c r="I30"/>
  <c r="J30"/>
  <c r="F37"/>
  <c r="E32" i="18" l="1"/>
  <c r="E79" s="1"/>
  <c r="F77" s="1"/>
  <c r="G77" s="1"/>
  <c r="C75"/>
  <c r="C80" s="1"/>
  <c r="E44" i="14"/>
  <c r="F35"/>
  <c r="E19" i="19"/>
  <c r="C79" i="18" l="1"/>
  <c r="C46" i="14" s="1"/>
  <c r="C44"/>
  <c r="E34"/>
  <c r="E80" i="18"/>
  <c r="D44" i="14"/>
  <c r="G125" i="2"/>
  <c r="H125"/>
  <c r="I125"/>
  <c r="J125"/>
  <c r="G121"/>
  <c r="G120" s="1"/>
  <c r="H121"/>
  <c r="H120" s="1"/>
  <c r="I121"/>
  <c r="I120" s="1"/>
  <c r="J121"/>
  <c r="J120" s="1"/>
  <c r="H49"/>
  <c r="I49"/>
  <c r="J49"/>
  <c r="G49"/>
  <c r="F49"/>
  <c r="F20" i="14" s="1"/>
  <c r="F110" i="2"/>
  <c r="F109"/>
  <c r="F27" i="14" s="1"/>
  <c r="F108" i="2"/>
  <c r="F26" i="14" s="1"/>
  <c r="E99" i="2"/>
  <c r="G99"/>
  <c r="G94" s="1"/>
  <c r="H99"/>
  <c r="H94" s="1"/>
  <c r="I99"/>
  <c r="I94" s="1"/>
  <c r="J99"/>
  <c r="J94" s="1"/>
  <c r="D46" i="14" l="1"/>
  <c r="J71" i="2"/>
  <c r="F53"/>
  <c r="F54"/>
  <c r="F62"/>
  <c r="F63"/>
  <c r="F64"/>
  <c r="F69"/>
  <c r="F72"/>
  <c r="F82"/>
  <c r="F73" s="1"/>
  <c r="H26" i="18"/>
  <c r="I26"/>
  <c r="J26"/>
  <c r="G26"/>
  <c r="F99" i="2" l="1"/>
  <c r="F94" s="1"/>
  <c r="F23" i="14" s="1"/>
  <c r="H79" i="10"/>
  <c r="F125" i="2"/>
  <c r="F22" i="14"/>
  <c r="I71" i="2"/>
  <c r="H80" i="10" l="1"/>
  <c r="G79"/>
  <c r="G80" s="1"/>
  <c r="E16"/>
  <c r="H71" i="2"/>
  <c r="F61" i="18"/>
  <c r="E24" i="10" l="1"/>
  <c r="F9" i="2"/>
  <c r="E28" i="10"/>
  <c r="F51" i="18"/>
  <c r="F75" s="1"/>
  <c r="E19" i="10"/>
  <c r="G71" i="2"/>
  <c r="E31" i="10" l="1"/>
  <c r="H44"/>
  <c r="F14" i="2"/>
  <c r="G75" i="18"/>
  <c r="J75"/>
  <c r="I75"/>
  <c r="H75"/>
  <c r="F44" i="14"/>
  <c r="E27" i="10"/>
  <c r="F71" i="2"/>
  <c r="E39" i="19"/>
  <c r="E20" i="14"/>
  <c r="J44" i="10" l="1"/>
  <c r="F19" i="18"/>
  <c r="G19" s="1"/>
  <c r="B41" i="10"/>
  <c r="B42"/>
  <c r="B43"/>
  <c r="B40"/>
  <c r="D19"/>
  <c r="F16"/>
  <c r="D23"/>
  <c r="C40" l="1"/>
  <c r="C42"/>
  <c r="C41"/>
  <c r="C43"/>
  <c r="G18" i="18"/>
  <c r="G17" s="1"/>
  <c r="H19"/>
  <c r="D27" i="10"/>
  <c r="F27" s="1"/>
  <c r="F19"/>
  <c r="E12" i="2"/>
  <c r="I19" i="18" l="1"/>
  <c r="H18"/>
  <c r="H17" s="1"/>
  <c r="E9" i="2"/>
  <c r="D40" i="20"/>
  <c r="I18" i="18" l="1"/>
  <c r="I17" s="1"/>
  <c r="J19"/>
  <c r="J18" s="1"/>
  <c r="J17" s="1"/>
  <c r="D48" i="14"/>
  <c r="D39"/>
  <c r="C22" i="19" l="1"/>
  <c r="C37" i="14" s="1"/>
  <c r="C27" i="10" l="1"/>
  <c r="D20" i="14"/>
  <c r="D118" i="2"/>
  <c r="D127" s="1"/>
  <c r="D117"/>
  <c r="D37" i="14"/>
  <c r="D17"/>
  <c r="C28" i="10" l="1"/>
  <c r="C24"/>
  <c r="D19" i="14"/>
  <c r="C33" l="1"/>
  <c r="C40" i="19"/>
  <c r="C39" i="14" s="1"/>
  <c r="D24"/>
  <c r="D29" l="1"/>
  <c r="D31"/>
  <c r="D8" i="18"/>
  <c r="D14" s="1"/>
  <c r="B27" i="20"/>
  <c r="C40"/>
  <c r="C41" s="1"/>
  <c r="F12" i="10"/>
  <c r="C24" i="20"/>
  <c r="F9" i="10" l="1"/>
  <c r="D31" l="1"/>
  <c r="F31" s="1"/>
  <c r="D24"/>
  <c r="F24" s="1"/>
  <c r="D28"/>
  <c r="F28" s="1"/>
  <c r="E38" i="14"/>
  <c r="H88" i="10"/>
  <c r="H89" s="1"/>
  <c r="AB104"/>
  <c r="AC104"/>
  <c r="E48" i="14"/>
  <c r="F32" i="3"/>
  <c r="E22" i="19"/>
  <c r="F22"/>
  <c r="F37" i="14" s="1"/>
  <c r="G22" i="19"/>
  <c r="H22"/>
  <c r="H37" i="14" s="1"/>
  <c r="I22" i="19"/>
  <c r="I37" i="14" s="1"/>
  <c r="J22" i="19"/>
  <c r="J37" i="14" s="1"/>
  <c r="E48" i="2"/>
  <c r="E19" i="14" s="1"/>
  <c r="F117" i="2"/>
  <c r="H12"/>
  <c r="I12"/>
  <c r="J12"/>
  <c r="E17" i="14"/>
  <c r="G117" i="2"/>
  <c r="H117"/>
  <c r="I117"/>
  <c r="J117"/>
  <c r="B17" i="14"/>
  <c r="G17"/>
  <c r="H17"/>
  <c r="I17"/>
  <c r="J17"/>
  <c r="B18"/>
  <c r="B19"/>
  <c r="B20"/>
  <c r="G20"/>
  <c r="H20"/>
  <c r="I20"/>
  <c r="J20"/>
  <c r="B21"/>
  <c r="B22"/>
  <c r="G22"/>
  <c r="H22"/>
  <c r="I22"/>
  <c r="J22"/>
  <c r="B23"/>
  <c r="G23"/>
  <c r="H23"/>
  <c r="I23"/>
  <c r="J23"/>
  <c r="B24"/>
  <c r="B25"/>
  <c r="G25"/>
  <c r="H25"/>
  <c r="I25"/>
  <c r="J25"/>
  <c r="B26"/>
  <c r="G26"/>
  <c r="H26"/>
  <c r="I26"/>
  <c r="J26"/>
  <c r="B27"/>
  <c r="G27"/>
  <c r="H27"/>
  <c r="I27"/>
  <c r="J27"/>
  <c r="B28"/>
  <c r="G28"/>
  <c r="H28"/>
  <c r="I28"/>
  <c r="J28"/>
  <c r="B29"/>
  <c r="B30"/>
  <c r="B31"/>
  <c r="B33"/>
  <c r="B34"/>
  <c r="B35"/>
  <c r="G35"/>
  <c r="H35"/>
  <c r="I35"/>
  <c r="J35"/>
  <c r="B36"/>
  <c r="G36"/>
  <c r="H36"/>
  <c r="I36"/>
  <c r="J36"/>
  <c r="B37"/>
  <c r="G37"/>
  <c r="B38"/>
  <c r="B39"/>
  <c r="B41"/>
  <c r="G41"/>
  <c r="B42"/>
  <c r="B43"/>
  <c r="G43"/>
  <c r="H43"/>
  <c r="I43"/>
  <c r="J43"/>
  <c r="B44"/>
  <c r="G44"/>
  <c r="H44"/>
  <c r="I44"/>
  <c r="J44"/>
  <c r="B45"/>
  <c r="G45"/>
  <c r="H45"/>
  <c r="I45"/>
  <c r="J45"/>
  <c r="B46"/>
  <c r="B48"/>
  <c r="I48"/>
  <c r="J48"/>
  <c r="N105" i="10" l="1"/>
  <c r="S105"/>
  <c r="M105"/>
  <c r="R105"/>
  <c r="E37" i="14"/>
  <c r="G12" i="2"/>
  <c r="F12" s="1"/>
  <c r="F8"/>
  <c r="F17" i="14"/>
  <c r="E117" i="2"/>
  <c r="F44" i="10" l="1"/>
  <c r="C44" l="1"/>
  <c r="F33" i="14" l="1"/>
  <c r="E42"/>
  <c r="I33" l="1"/>
  <c r="G33"/>
  <c r="J33"/>
  <c r="H33"/>
  <c r="E46" l="1"/>
  <c r="F41"/>
  <c r="G48" l="1"/>
  <c r="H48"/>
  <c r="Y104" i="10" l="1"/>
  <c r="F7" i="3"/>
  <c r="F48" i="14" s="1"/>
  <c r="AA104" i="10"/>
  <c r="Z104"/>
  <c r="Y100"/>
  <c r="K105" l="1"/>
  <c r="P105"/>
  <c r="L105"/>
  <c r="Q105"/>
  <c r="O105"/>
  <c r="J105"/>
  <c r="G39" i="19"/>
  <c r="G27" i="18"/>
  <c r="G38" i="14" l="1"/>
  <c r="J27" i="18"/>
  <c r="H27"/>
  <c r="I27"/>
  <c r="H39" i="19"/>
  <c r="I39"/>
  <c r="I38" i="14" s="1"/>
  <c r="J39" i="19"/>
  <c r="J38" i="14" s="1"/>
  <c r="E20" i="10" l="1"/>
  <c r="H38" i="14"/>
  <c r="E23" i="10" l="1"/>
  <c r="F23" s="1"/>
  <c r="F20"/>
  <c r="F38" i="14"/>
  <c r="F18" i="18"/>
  <c r="F17" l="1"/>
  <c r="G38" i="2" l="1"/>
  <c r="I38" s="1"/>
  <c r="H38" l="1"/>
  <c r="J38"/>
  <c r="G39"/>
  <c r="J39" l="1"/>
  <c r="H39"/>
  <c r="I39"/>
  <c r="G40"/>
  <c r="I40" s="1"/>
  <c r="H40" l="1"/>
  <c r="J40"/>
  <c r="G41"/>
  <c r="H41" s="1"/>
  <c r="G42"/>
  <c r="J42" s="1"/>
  <c r="J41" l="1"/>
  <c r="I41"/>
  <c r="I42"/>
  <c r="H42"/>
  <c r="G43"/>
  <c r="I43" s="1"/>
  <c r="H43" l="1"/>
  <c r="J43"/>
  <c r="G44"/>
  <c r="I44" s="1"/>
  <c r="J44" l="1"/>
  <c r="H44"/>
  <c r="G45"/>
  <c r="G34" l="1"/>
  <c r="F18" i="14"/>
  <c r="F48" i="2"/>
  <c r="H45"/>
  <c r="J45"/>
  <c r="I45"/>
  <c r="G48" l="1"/>
  <c r="G18" i="14"/>
  <c r="G20" i="2"/>
  <c r="J34"/>
  <c r="I34"/>
  <c r="H34"/>
  <c r="G19" i="14"/>
  <c r="F19"/>
  <c r="I20" i="2" l="1"/>
  <c r="I18" i="14"/>
  <c r="I48" i="2"/>
  <c r="H48"/>
  <c r="H20"/>
  <c r="H18" i="14"/>
  <c r="J48" i="2"/>
  <c r="J19" i="14" s="1"/>
  <c r="J18"/>
  <c r="J20" i="2"/>
  <c r="F20" s="1"/>
  <c r="H19" i="14"/>
  <c r="I19"/>
  <c r="G58" i="2"/>
  <c r="G51" s="1"/>
  <c r="F51"/>
  <c r="F21" i="14" s="1"/>
  <c r="G21" l="1"/>
  <c r="G106" i="2"/>
  <c r="F106"/>
  <c r="J58"/>
  <c r="J51" s="1"/>
  <c r="I58"/>
  <c r="I51" s="1"/>
  <c r="H58"/>
  <c r="H51" s="1"/>
  <c r="H21" i="14" l="1"/>
  <c r="H106" i="2"/>
  <c r="J21" i="14"/>
  <c r="J106" i="2"/>
  <c r="G112"/>
  <c r="G24" i="14"/>
  <c r="I21"/>
  <c r="I106" i="2"/>
  <c r="F24" i="14"/>
  <c r="F112" i="2"/>
  <c r="G113" l="1"/>
  <c r="F30" i="14"/>
  <c r="F19" i="19"/>
  <c r="F118" i="2"/>
  <c r="F126" s="1"/>
  <c r="F127" s="1"/>
  <c r="F29" i="14"/>
  <c r="F8" i="18"/>
  <c r="F14" s="1"/>
  <c r="F115" i="2"/>
  <c r="I112"/>
  <c r="I24" i="14"/>
  <c r="G8" i="18"/>
  <c r="G14" s="1"/>
  <c r="G29" i="14"/>
  <c r="H112" i="2"/>
  <c r="H24" i="14"/>
  <c r="J112" i="2"/>
  <c r="J24" i="14"/>
  <c r="F31" i="18" l="1"/>
  <c r="F28"/>
  <c r="G115" i="2"/>
  <c r="J113"/>
  <c r="J115" s="1"/>
  <c r="J31" i="14" s="1"/>
  <c r="G31"/>
  <c r="I113" i="2"/>
  <c r="I115" s="1"/>
  <c r="I31" i="14" s="1"/>
  <c r="H113" i="2"/>
  <c r="H115" s="1"/>
  <c r="H31" i="14" s="1"/>
  <c r="G30"/>
  <c r="G118" i="2"/>
  <c r="G126" s="1"/>
  <c r="G127" s="1"/>
  <c r="I19" i="19"/>
  <c r="H19"/>
  <c r="F34" i="14"/>
  <c r="G19" i="19"/>
  <c r="J19"/>
  <c r="F40"/>
  <c r="F39" i="14" s="1"/>
  <c r="J118" i="2"/>
  <c r="J126" s="1"/>
  <c r="J127" s="1"/>
  <c r="J29" i="14"/>
  <c r="J8" i="18"/>
  <c r="J14" s="1"/>
  <c r="H29" i="14"/>
  <c r="H8" i="18"/>
  <c r="H14" s="1"/>
  <c r="F31" i="14"/>
  <c r="I29"/>
  <c r="I8" i="18"/>
  <c r="I14" s="1"/>
  <c r="J30" i="14" l="1"/>
  <c r="G28" i="18"/>
  <c r="F23"/>
  <c r="F32" s="1"/>
  <c r="J34" i="14"/>
  <c r="J31" i="18"/>
  <c r="J40" i="19"/>
  <c r="J39" i="14" s="1"/>
  <c r="I34"/>
  <c r="I31" i="18"/>
  <c r="I40" i="19"/>
  <c r="I39" i="14" s="1"/>
  <c r="I30"/>
  <c r="I118" i="2"/>
  <c r="I126" s="1"/>
  <c r="I127" s="1"/>
  <c r="G34" i="14"/>
  <c r="G31" i="18"/>
  <c r="G40" i="19"/>
  <c r="G39" i="14" s="1"/>
  <c r="H34"/>
  <c r="H31" i="18"/>
  <c r="H40" i="19"/>
  <c r="H39" i="14" s="1"/>
  <c r="H30"/>
  <c r="H118" i="2"/>
  <c r="H126" s="1"/>
  <c r="H127" s="1"/>
  <c r="E82"/>
  <c r="E22" i="14"/>
  <c r="E118" i="2"/>
  <c r="E127" s="1"/>
  <c r="E126" s="1"/>
  <c r="E106"/>
  <c r="E24" i="14" s="1"/>
  <c r="E112" i="2" l="1"/>
  <c r="E29" i="14"/>
  <c r="E8" i="18"/>
  <c r="E14" s="1"/>
  <c r="H28"/>
  <c r="G23"/>
  <c r="G32" s="1"/>
  <c r="F80"/>
  <c r="F42" i="14"/>
  <c r="F79" i="18"/>
  <c r="F46" i="14" s="1"/>
  <c r="E115" i="2"/>
  <c r="E31" i="14" l="1"/>
  <c r="E18" i="19"/>
  <c r="I28" i="18"/>
  <c r="H23"/>
  <c r="H32" s="1"/>
  <c r="G80"/>
  <c r="G79" s="1"/>
  <c r="G42" i="14"/>
  <c r="E33" l="1"/>
  <c r="E40" i="19"/>
  <c r="E39" i="14" s="1"/>
  <c r="E16" i="19"/>
  <c r="H77" i="18"/>
  <c r="G46" i="14"/>
  <c r="J28" i="18"/>
  <c r="J23" s="1"/>
  <c r="J32" s="1"/>
  <c r="I23"/>
  <c r="I32" s="1"/>
  <c r="H42" i="14"/>
  <c r="H80" i="18"/>
  <c r="G8" i="19" l="1"/>
  <c r="G16" s="1"/>
  <c r="H8" s="1"/>
  <c r="H16" s="1"/>
  <c r="I8" s="1"/>
  <c r="I16" s="1"/>
  <c r="J8" s="1"/>
  <c r="J16" s="1"/>
  <c r="F8"/>
  <c r="F16" s="1"/>
  <c r="J80" i="18"/>
  <c r="J42" i="14"/>
  <c r="H79" i="18"/>
  <c r="H41" i="14"/>
  <c r="I42"/>
  <c r="I80" i="18"/>
  <c r="I77" l="1"/>
  <c r="H46" i="14"/>
  <c r="I79" i="18" l="1"/>
  <c r="I41" i="14"/>
  <c r="J77" i="18" l="1"/>
  <c r="I46" i="14"/>
  <c r="J79" i="18" l="1"/>
  <c r="J46" i="14" s="1"/>
  <c r="J41"/>
</calcChain>
</file>

<file path=xl/comments1.xml><?xml version="1.0" encoding="utf-8"?>
<comments xmlns="http://schemas.openxmlformats.org/spreadsheetml/2006/main">
  <authors>
    <author>Dream Admin</author>
    <author>Admin</author>
  </authors>
  <commentList>
    <comment ref="D21" authorId="0">
      <text>
        <r>
          <rPr>
            <b/>
            <sz val="8"/>
            <color indexed="81"/>
            <rFont val="Tahoma"/>
            <charset val="1"/>
          </rPr>
          <t>Dream Admin:</t>
        </r>
        <r>
          <rPr>
            <sz val="8"/>
            <color indexed="81"/>
            <rFont val="Tahoma"/>
            <charset val="1"/>
          </rPr>
          <t xml:space="preserve">
65000 м.куб. * 8,29 грн.
</t>
        </r>
      </text>
    </comment>
    <comment ref="E21" authorId="0">
      <text>
        <r>
          <rPr>
            <b/>
            <sz val="8"/>
            <color indexed="81"/>
            <rFont val="Tahoma"/>
            <charset val="1"/>
          </rPr>
          <t>Dream Admin:</t>
        </r>
        <r>
          <rPr>
            <sz val="8"/>
            <color indexed="81"/>
            <rFont val="Tahoma"/>
            <charset val="1"/>
          </rPr>
          <t xml:space="preserve">
87145 м.куб. * 8,29 грн собів </t>
        </r>
      </text>
    </comment>
    <comment ref="F21" authorId="0">
      <text>
        <r>
          <rPr>
            <b/>
            <sz val="8"/>
            <color indexed="81"/>
            <rFont val="Tahoma"/>
            <charset val="1"/>
          </rPr>
          <t>Dream Admin:</t>
        </r>
        <r>
          <rPr>
            <sz val="8"/>
            <color indexed="81"/>
            <rFont val="Tahoma"/>
            <charset val="1"/>
          </rPr>
          <t xml:space="preserve">
72000 м.куб. * 8,29 грн.
</t>
        </r>
      </text>
    </comment>
    <comment ref="D36" authorId="1">
      <text>
        <r>
          <rPr>
            <b/>
            <sz val="8"/>
            <color indexed="81"/>
            <rFont val="Tahoma"/>
            <charset val="1"/>
          </rPr>
          <t>Admin:</t>
        </r>
        <r>
          <rPr>
            <sz val="8"/>
            <color indexed="81"/>
            <rFont val="Tahoma"/>
            <charset val="1"/>
          </rPr>
          <t xml:space="preserve">
51000*12міс*29,58 грн.
</t>
        </r>
      </text>
    </comment>
    <comment ref="F36" authorId="1">
      <text>
        <r>
          <rPr>
            <b/>
            <sz val="8"/>
            <color indexed="81"/>
            <rFont val="Tahoma"/>
            <charset val="1"/>
          </rPr>
          <t>Admin:</t>
        </r>
        <r>
          <rPr>
            <sz val="8"/>
            <color indexed="81"/>
            <rFont val="Tahoma"/>
            <charset val="1"/>
          </rPr>
          <t xml:space="preserve">
51000*12міс*29,58 грн.
</t>
        </r>
      </text>
    </comment>
    <comment ref="A96" authorId="0">
      <text>
        <r>
          <rPr>
            <b/>
            <sz val="8"/>
            <color indexed="81"/>
            <rFont val="Tahoma"/>
            <family val="2"/>
            <charset val="204"/>
          </rPr>
          <t>Dream Admin:</t>
        </r>
        <r>
          <rPr>
            <sz val="8"/>
            <color indexed="81"/>
            <rFont val="Tahoma"/>
            <family val="2"/>
            <charset val="204"/>
          </rPr>
          <t xml:space="preserve">
381 рах
</t>
        </r>
      </text>
    </comment>
    <comment ref="A100" authorId="0">
      <text>
        <r>
          <rPr>
            <b/>
            <sz val="8"/>
            <color indexed="81"/>
            <rFont val="Tahoma"/>
            <family val="2"/>
            <charset val="204"/>
          </rPr>
          <t>Dream Admin:</t>
        </r>
        <r>
          <rPr>
            <sz val="8"/>
            <color indexed="81"/>
            <rFont val="Tahoma"/>
            <family val="2"/>
            <charset val="204"/>
          </rPr>
          <t xml:space="preserve">
131 рах
</t>
        </r>
      </text>
    </comment>
    <comment ref="A101" authorId="0">
      <text>
        <r>
          <rPr>
            <b/>
            <sz val="8"/>
            <color indexed="81"/>
            <rFont val="Tahoma"/>
            <family val="2"/>
            <charset val="204"/>
          </rPr>
          <t>Dream Admin:</t>
        </r>
        <r>
          <rPr>
            <sz val="8"/>
            <color indexed="81"/>
            <rFont val="Tahoma"/>
            <family val="2"/>
            <charset val="204"/>
          </rPr>
          <t xml:space="preserve">
201-209</t>
        </r>
      </text>
    </comment>
    <comment ref="A102" authorId="0">
      <text>
        <r>
          <rPr>
            <b/>
            <sz val="8"/>
            <color indexed="81"/>
            <rFont val="Tahoma"/>
            <family val="2"/>
            <charset val="204"/>
          </rPr>
          <t>Dream Admin:</t>
        </r>
        <r>
          <rPr>
            <sz val="8"/>
            <color indexed="81"/>
            <rFont val="Tahoma"/>
            <family val="2"/>
            <charset val="204"/>
          </rPr>
          <t xml:space="preserve">
6414</t>
        </r>
      </text>
    </comment>
    <comment ref="A105" authorId="0">
      <text>
        <r>
          <rPr>
            <b/>
            <sz val="8"/>
            <color indexed="81"/>
            <rFont val="Tahoma"/>
            <family val="2"/>
            <charset val="204"/>
          </rPr>
          <t>Dream Admin:</t>
        </r>
        <r>
          <rPr>
            <sz val="8"/>
            <color indexed="81"/>
            <rFont val="Tahoma"/>
            <family val="2"/>
            <charset val="204"/>
          </rPr>
          <t xml:space="preserve">
6510,6511</t>
        </r>
      </text>
    </comment>
    <comment ref="D113" authorId="0">
      <text>
        <r>
          <rPr>
            <b/>
            <sz val="8"/>
            <color indexed="81"/>
            <rFont val="Tahoma"/>
            <charset val="1"/>
          </rPr>
          <t>Dream Admin:</t>
        </r>
        <r>
          <rPr>
            <sz val="8"/>
            <color indexed="81"/>
            <rFont val="Tahoma"/>
            <charset val="1"/>
          </rPr>
          <t xml:space="preserve">
18%</t>
        </r>
      </text>
    </comment>
    <comment ref="F113" authorId="0">
      <text>
        <r>
          <rPr>
            <b/>
            <sz val="8"/>
            <color indexed="81"/>
            <rFont val="Tahoma"/>
            <charset val="1"/>
          </rPr>
          <t>Dream Admin:</t>
        </r>
        <r>
          <rPr>
            <sz val="8"/>
            <color indexed="81"/>
            <rFont val="Tahoma"/>
            <charset val="1"/>
          </rPr>
          <t xml:space="preserve">
18%</t>
        </r>
      </text>
    </comment>
  </commentList>
</comments>
</file>

<file path=xl/comments2.xml><?xml version="1.0" encoding="utf-8"?>
<comments xmlns="http://schemas.openxmlformats.org/spreadsheetml/2006/main">
  <authors>
    <author>Dream Admin</author>
  </authors>
  <commentList>
    <comment ref="D18" authorId="0">
      <text>
        <r>
          <rPr>
            <b/>
            <sz val="8"/>
            <color indexed="81"/>
            <rFont val="Tahoma"/>
            <family val="2"/>
            <charset val="204"/>
          </rPr>
          <t>Dream Admin:</t>
        </r>
        <r>
          <rPr>
            <sz val="8"/>
            <color indexed="81"/>
            <rFont val="Tahoma"/>
            <family val="2"/>
            <charset val="204"/>
          </rPr>
          <t xml:space="preserve">
=('1.Фінансовий результат'!F8*1000-1560000)/1000*95%</t>
        </r>
      </text>
    </comment>
    <comment ref="F18" authorId="0">
      <text>
        <r>
          <rPr>
            <b/>
            <sz val="8"/>
            <color indexed="81"/>
            <rFont val="Tahoma"/>
            <family val="2"/>
            <charset val="204"/>
          </rPr>
          <t>Dream Admin:</t>
        </r>
        <r>
          <rPr>
            <sz val="8"/>
            <color indexed="81"/>
            <rFont val="Tahoma"/>
            <family val="2"/>
            <charset val="204"/>
          </rPr>
          <t xml:space="preserve">
=('1.Фінансовий результат'!F8*1000-1560000)/1000*95%</t>
        </r>
      </text>
    </comment>
  </commentList>
</comments>
</file>

<file path=xl/comments3.xml><?xml version="1.0" encoding="utf-8"?>
<comments xmlns="http://schemas.openxmlformats.org/spreadsheetml/2006/main">
  <authors>
    <author>Jenya</author>
    <author>Dream Admin</author>
  </authors>
  <commentList>
    <comment ref="D10" authorId="0">
      <text>
        <r>
          <rPr>
            <b/>
            <sz val="9"/>
            <color indexed="81"/>
            <rFont val="Tahoma"/>
            <charset val="1"/>
          </rPr>
          <t>Jenya:</t>
        </r>
        <r>
          <rPr>
            <sz val="9"/>
            <color indexed="81"/>
            <rFont val="Tahoma"/>
            <charset val="1"/>
          </rPr>
          <t xml:space="preserve">
Роговик
Коваленко
Слинько
Хмельов
Клименко
Абукаре4</t>
        </r>
      </text>
    </comment>
    <comment ref="D11" authorId="0">
      <text>
        <r>
          <rPr>
            <b/>
            <sz val="9"/>
            <color indexed="81"/>
            <rFont val="Tahoma"/>
            <charset val="1"/>
          </rPr>
          <t>Jenya:</t>
        </r>
        <r>
          <rPr>
            <sz val="9"/>
            <color indexed="81"/>
            <rFont val="Tahoma"/>
            <charset val="1"/>
          </rPr>
          <t xml:space="preserve">
Роговий
Крижня
Дмитрієнко
Полонська
Чмир
Рудик
Волик
Згуровський</t>
        </r>
      </text>
    </comment>
    <comment ref="D17" authorId="0">
      <text>
        <r>
          <rPr>
            <b/>
            <sz val="9"/>
            <color indexed="81"/>
            <rFont val="Tahoma"/>
            <charset val="1"/>
          </rPr>
          <t>Jenya:</t>
        </r>
        <r>
          <rPr>
            <sz val="9"/>
            <color indexed="81"/>
            <rFont val="Tahoma"/>
            <charset val="1"/>
          </rPr>
          <t xml:space="preserve">
Директор</t>
        </r>
      </text>
    </comment>
    <comment ref="A18" authorId="1">
      <text>
        <r>
          <rPr>
            <b/>
            <sz val="8"/>
            <color indexed="81"/>
            <rFont val="Tahoma"/>
            <family val="2"/>
            <charset val="204"/>
          </rPr>
          <t>Dream Admin:</t>
        </r>
        <r>
          <rPr>
            <sz val="8"/>
            <color indexed="81"/>
            <rFont val="Tahoma"/>
            <family val="2"/>
            <charset val="204"/>
          </rPr>
          <t xml:space="preserve">
12 чол.
</t>
        </r>
      </text>
    </comment>
    <comment ref="D18" authorId="0">
      <text>
        <r>
          <rPr>
            <b/>
            <sz val="9"/>
            <color indexed="81"/>
            <rFont val="Tahoma"/>
            <charset val="1"/>
          </rPr>
          <t>Jenya:</t>
        </r>
        <r>
          <rPr>
            <sz val="9"/>
            <color indexed="81"/>
            <rFont val="Tahoma"/>
            <charset val="1"/>
          </rPr>
          <t xml:space="preserve">
6
 чоловік</t>
        </r>
      </text>
    </comment>
    <comment ref="A19" authorId="1">
      <text>
        <r>
          <rPr>
            <b/>
            <sz val="8"/>
            <color indexed="81"/>
            <rFont val="Tahoma"/>
            <family val="2"/>
            <charset val="204"/>
          </rPr>
          <t>Dream Admin:</t>
        </r>
        <r>
          <rPr>
            <sz val="8"/>
            <color indexed="81"/>
            <rFont val="Tahoma"/>
            <family val="2"/>
            <charset val="204"/>
          </rPr>
          <t xml:space="preserve">
40 чол
</t>
        </r>
      </text>
    </comment>
  </commentList>
</comments>
</file>

<file path=xl/comments4.xml><?xml version="1.0" encoding="utf-8"?>
<comments xmlns="http://schemas.openxmlformats.org/spreadsheetml/2006/main">
  <authors>
    <author>Jenya</author>
  </authors>
  <commentList>
    <comment ref="C21" authorId="0">
      <text>
        <r>
          <rPr>
            <b/>
            <sz val="9"/>
            <color indexed="81"/>
            <rFont val="Tahoma"/>
            <charset val="1"/>
          </rPr>
          <t>Jenya:</t>
        </r>
        <r>
          <rPr>
            <sz val="9"/>
            <color indexed="81"/>
            <rFont val="Tahoma"/>
            <charset val="1"/>
          </rPr>
          <t xml:space="preserve">
по факту 2016 року
</t>
        </r>
      </text>
    </comment>
  </commentList>
</comments>
</file>

<file path=xl/sharedStrings.xml><?xml version="1.0" encoding="utf-8"?>
<sst xmlns="http://schemas.openxmlformats.org/spreadsheetml/2006/main" count="953" uniqueCount="660">
  <si>
    <t>капітальне будівництво</t>
  </si>
  <si>
    <t>придбання (створення) нематеріальних активів</t>
  </si>
  <si>
    <t>Витрати на оплату праці</t>
  </si>
  <si>
    <t>Відрахування на соціальні заходи</t>
  </si>
  <si>
    <t>Амортизація</t>
  </si>
  <si>
    <t xml:space="preserve">Код рядка </t>
  </si>
  <si>
    <t>Усього доходів</t>
  </si>
  <si>
    <t>витрати на страхові послуги</t>
  </si>
  <si>
    <t>витрати на аудиторські послуги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</si>
  <si>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</si>
  <si>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</si>
  <si>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</si>
  <si>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</si>
  <si>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Виручка від реалізації основних фондів</t>
  </si>
  <si>
    <t xml:space="preserve">Виручка від реалізації нематеріальних активів </t>
  </si>
  <si>
    <t>Грошові кошти: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</si>
  <si>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</si>
  <si>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</si>
  <si>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</si>
  <si>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</si>
  <si>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</si>
  <si>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</si>
  <si>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</si>
  <si>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</si>
  <si>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</si>
  <si>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</si>
  <si>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</si>
  <si>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</si>
  <si>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</si>
  <si>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</si>
  <si>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</si>
  <si>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</si>
  <si>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</si>
  <si>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</si>
  <si>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</si>
  <si>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</si>
  <si>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</si>
  <si>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</si>
  <si>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</si>
  <si>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</si>
  <si>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</si>
  <si>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</si>
  <si>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</si>
  <si>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</si>
  <si>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</si>
  <si>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</si>
  <si>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</si>
  <si>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</si>
  <si>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</si>
  <si>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</si>
  <si>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>Процентна ставка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</si>
  <si>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</si>
  <si>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</si>
  <si>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</si>
  <si>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ІV </t>
  </si>
  <si>
    <t xml:space="preserve">ІІІ </t>
  </si>
  <si>
    <t xml:space="preserve">І </t>
  </si>
  <si>
    <t xml:space="preserve">ІІ 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</si>
  <si>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</si>
  <si>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</si>
  <si>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</si>
  <si>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</si>
  <si>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</si>
  <si>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</si>
  <si>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</si>
  <si>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</si>
  <si>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Заборгованість на останню дату</t>
  </si>
  <si>
    <t>Бюджетне фінансування</t>
  </si>
  <si>
    <t>інші платежі (розшифрувати)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</si>
  <si>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</si>
  <si>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</si>
  <si>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</si>
  <si>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</si>
  <si>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</si>
  <si>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</si>
  <si>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у тому числі за кварталами</t>
  </si>
  <si>
    <t>І. Формування фінансових результатів</t>
  </si>
  <si>
    <t>плата за користування надрами</t>
  </si>
  <si>
    <t xml:space="preserve">         (ініціали, прізвище)    </t>
  </si>
  <si>
    <t>у тому числі:</t>
  </si>
  <si>
    <t>рентна плата за транспортування</t>
  </si>
  <si>
    <t>_____________________________</t>
  </si>
  <si>
    <t>витрати, пов'язані з використанням власних службових автомобілів</t>
  </si>
  <si>
    <t>Інші фінансові доходи (розшифрувати)</t>
  </si>
  <si>
    <t>інші адміністративні витрати (розшифрувати)</t>
  </si>
  <si>
    <t>Інші витрати (розшифрувати)</t>
  </si>
  <si>
    <t>Інші фонди (розшифрувати)</t>
  </si>
  <si>
    <t>Інші цілі (розшифрувати)</t>
  </si>
  <si>
    <t>Усього витрат</t>
  </si>
  <si>
    <t>місцеві податки та збори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</si>
  <si>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</si>
  <si>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</si>
  <si>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</si>
  <si>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</si>
  <si>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</si>
  <si>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Інформація</t>
  </si>
  <si>
    <t>Найменування  банку</t>
  </si>
  <si>
    <t>Інші джерела (розшифрувати)</t>
  </si>
  <si>
    <t>у тому числі за основними видами діяльності за КВЕД</t>
  </si>
  <si>
    <t>(найменування підприємства)</t>
  </si>
  <si>
    <t>Середньооблікова чисельність осіб, у тому числі:</t>
  </si>
  <si>
    <t>Плановий рік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</si>
  <si>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</si>
  <si>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</si>
  <si>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</si>
  <si>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</si>
  <si>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</si>
  <si>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</si>
  <si>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</si>
  <si>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</si>
  <si>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</si>
  <si>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</si>
  <si>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</si>
  <si>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</si>
  <si>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</si>
  <si>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</si>
  <si>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</si>
  <si>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</si>
  <si>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</si>
  <si>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</si>
  <si>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</si>
  <si>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</si>
  <si>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</si>
  <si>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</si>
  <si>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</si>
  <si>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</si>
  <si>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 xml:space="preserve">Вплив зміни валютних курсів на залишок коштів </t>
  </si>
  <si>
    <t>погашення податкового боргу, у тому числі:</t>
  </si>
  <si>
    <t>Собівартість реалізованої продукції (товарів, робіт, послуг)</t>
  </si>
  <si>
    <t xml:space="preserve">Прибуток (збиток) від звичайної діяльності до оподаткування </t>
  </si>
  <si>
    <t>Коригування на: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</si>
  <si>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</si>
  <si>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</si>
  <si>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</si>
  <si>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</si>
  <si>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</si>
  <si>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</si>
  <si>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</si>
  <si>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</si>
  <si>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</si>
  <si>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 xml:space="preserve">І  </t>
  </si>
  <si>
    <t xml:space="preserve">ІІ  </t>
  </si>
  <si>
    <t xml:space="preserve">ІІІ  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</si>
  <si>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</si>
  <si>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</si>
  <si>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</si>
  <si>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</si>
  <si>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</si>
  <si>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</si>
  <si>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</si>
  <si>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</si>
  <si>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</si>
  <si>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</si>
  <si>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</si>
  <si>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Усього на рік</t>
  </si>
  <si>
    <t>Основні фінансові показники</t>
  </si>
  <si>
    <t>Чистий дохід від реалізації продукції (товарів, робіт, послуг)</t>
  </si>
  <si>
    <t>витрати на оренду службових автомобілів</t>
  </si>
  <si>
    <t>Капітальні інвестиції</t>
  </si>
  <si>
    <t>IV. Капітальні інвестиції</t>
  </si>
  <si>
    <t xml:space="preserve">IV. Капітальні інвестиції 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</si>
  <si>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</si>
  <si>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</si>
  <si>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</si>
  <si>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</si>
  <si>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</si>
  <si>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</si>
  <si>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</si>
  <si>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Адміністративні витрати, у тому числі:</t>
  </si>
  <si>
    <t>Витрати на збут, у тому числі:</t>
  </si>
  <si>
    <t>Чистий рух грошових коштів від інвестиційної діяльності</t>
  </si>
  <si>
    <t>Елементи операційних витрат</t>
  </si>
  <si>
    <t>тис. гривень (без ПДВ)</t>
  </si>
  <si>
    <t>Найменування об’єкта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</si>
  <si>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</si>
  <si>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</si>
  <si>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Сплата інших податків, зборів, обов'язкових платежів до державного та місцевих бюджетів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</si>
  <si>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</si>
  <si>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</si>
  <si>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</si>
  <si>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>директор</t>
  </si>
  <si>
    <t>працівники</t>
  </si>
  <si>
    <t>Найменування показника</t>
  </si>
  <si>
    <t>Дивіденди/відрахування частини чистого прибутку</t>
  </si>
  <si>
    <t>Усього виплат на користь держави</t>
  </si>
  <si>
    <t>I. Формування фінансових результатів</t>
  </si>
  <si>
    <t>Надходження</t>
  </si>
  <si>
    <t xml:space="preserve">Надходження </t>
  </si>
  <si>
    <t>Витрати</t>
  </si>
  <si>
    <t>Фонд оплати праці, тис. гривень, у тому числі:</t>
  </si>
  <si>
    <t>адміністративно-управлінський персонал</t>
  </si>
  <si>
    <t>Власні кошти (розшифрувати)</t>
  </si>
  <si>
    <t>Валовий прибуток/збиток</t>
  </si>
  <si>
    <t>витрати на сировину та основні матеріали</t>
  </si>
  <si>
    <t>Доходи і витрати (узагальнені показники)</t>
  </si>
  <si>
    <t>Матеріальні витрати, у тому числі:</t>
  </si>
  <si>
    <t>Сплата дивідендів на державну частку/відрахувань частини чистого прибутку</t>
  </si>
  <si>
    <t>Перерахування коштів державі як власнику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</si>
  <si>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</si>
  <si>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</si>
  <si>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</si>
  <si>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</si>
  <si>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</si>
  <si>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</si>
  <si>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кількість продукції/             наданих послуг, одиниця виміру</t>
  </si>
  <si>
    <t>Дата видачі/погашення (графік)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</si>
  <si>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</si>
  <si>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</si>
  <si>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</si>
  <si>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</si>
  <si>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</si>
  <si>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Мета використання</t>
  </si>
  <si>
    <t xml:space="preserve">Доходи </t>
  </si>
  <si>
    <t>Дохід (виручка) від реалізації продукції (товарів, робіт, послуг)</t>
  </si>
  <si>
    <t>Податок на додану вартість</t>
  </si>
  <si>
    <t>Інші вирахування з доходу (розшифрувати)</t>
  </si>
  <si>
    <t>від комерційної діяльності</t>
  </si>
  <si>
    <t>від державного бюджету</t>
  </si>
  <si>
    <t>від місцевого бюджету</t>
  </si>
  <si>
    <t xml:space="preserve">      3. Діючі фінансові зобов'язання підприємства</t>
  </si>
  <si>
    <t xml:space="preserve">      4. Інформація щодо отримання та повернення залучених коштів</t>
  </si>
  <si>
    <t xml:space="preserve">      7. Джерела капітальних інвестицій</t>
  </si>
  <si>
    <t>Сума, валюта за договорами</t>
  </si>
  <si>
    <t>у тому числі за їх видами</t>
  </si>
  <si>
    <t xml:space="preserve">I </t>
  </si>
  <si>
    <t>II</t>
  </si>
  <si>
    <t>III</t>
  </si>
  <si>
    <t>IV</t>
  </si>
  <si>
    <t>I</t>
  </si>
  <si>
    <t>Інші операційні доходи</t>
  </si>
  <si>
    <t>Інші доходи</t>
  </si>
  <si>
    <t>Інші витрати</t>
  </si>
  <si>
    <t>Валовий: прибуток / збиток</t>
  </si>
  <si>
    <t>Фінансовий результат від операційної діяльності: прибуток/збиток</t>
  </si>
  <si>
    <t>Фінансовий результат до оподаткування: прибуток/збиток</t>
  </si>
  <si>
    <t>Фінансовий результат до оподаткування:  прибуток/збиток</t>
  </si>
  <si>
    <t>Чистий  фінансовий результат: прибуток/збиток</t>
  </si>
  <si>
    <t>Відрахування частини чистого прибутку до міського бюджету</t>
  </si>
  <si>
    <t xml:space="preserve">       5. Витрати, пов'язані з використанням власних службових автомобілів (у складі адміністративних витрат, рядок 1081)</t>
  </si>
  <si>
    <t xml:space="preserve">       6. Витрати на оренду службових автомобілів (у складі адміністративних витрат, рядок 1082)</t>
  </si>
  <si>
    <t>Доходи від фінансової діяльності</t>
  </si>
  <si>
    <t>Витрати від фінансової діяльності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</si>
  <si>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</si>
  <si>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</si>
  <si>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освоєння капітальних вкладень</t>
  </si>
  <si>
    <t xml:space="preserve">Найменування об’єктів </t>
  </si>
  <si>
    <t>Рік початку                і закінчення будівництва</t>
  </si>
  <si>
    <t>Загальна кошторисна вартість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</si>
  <si>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</si>
  <si>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</si>
  <si>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фінансування капітальних інвестицій (оплата грошовими коштами), усього</t>
  </si>
  <si>
    <t>власні кошти</t>
  </si>
  <si>
    <t>кредитні кошти</t>
  </si>
  <si>
    <t>інші джерела (зазначити джерело)</t>
  </si>
  <si>
    <t>у тому числі</t>
  </si>
  <si>
    <t>тис.грн. (без ПДВ)</t>
  </si>
  <si>
    <t xml:space="preserve">Зокрема за кварталами </t>
  </si>
  <si>
    <t>Плановий рік до прогнозу на поточний рік, %</t>
  </si>
  <si>
    <t xml:space="preserve"> Пояснення у разі збільшення витрат на оплату праці в плановому році порівняно з прогнозом поточного року </t>
  </si>
  <si>
    <t xml:space="preserve">ФІНАНСОВИЙ ПЛАН </t>
  </si>
  <si>
    <t xml:space="preserve">КОМУНАЛЬНОГО ПІДПРИЄМСТВА "ЧЕРКАСЬКА СЛУЖБА ЧИСТОТИ" </t>
  </si>
  <si>
    <t xml:space="preserve">      2. Інформація про бізнес підприємства (код рядка 1040 "Чистий дохід від реалізації продукції (товарів, робіт, послуг)" фінансового плану)</t>
  </si>
  <si>
    <t>Керівники</t>
  </si>
  <si>
    <t>Директор</t>
  </si>
  <si>
    <t>Заступник директора</t>
  </si>
  <si>
    <t>Головний інженер</t>
  </si>
  <si>
    <t>Головний бухгалтер</t>
  </si>
  <si>
    <t>Начальник аб відділу</t>
  </si>
  <si>
    <t>Начальник полігону</t>
  </si>
  <si>
    <t>Начальник притулку</t>
  </si>
  <si>
    <t>Економіст</t>
  </si>
  <si>
    <t>Екон з бух обліку</t>
  </si>
  <si>
    <t>Інж з охорони праці</t>
  </si>
  <si>
    <t>юрисконсульт</t>
  </si>
  <si>
    <t>Інспектор з кадрів</t>
  </si>
  <si>
    <t>Серетар-друкарка</t>
  </si>
  <si>
    <t>бухгалтер</t>
  </si>
  <si>
    <t>інспектор 5</t>
  </si>
  <si>
    <t>Агент 4</t>
  </si>
  <si>
    <t>Майстер</t>
  </si>
  <si>
    <t>Фахівець</t>
  </si>
  <si>
    <t>Двірник 2</t>
  </si>
  <si>
    <t xml:space="preserve">Прибиральник </t>
  </si>
  <si>
    <t>Слюсар сант</t>
  </si>
  <si>
    <t>Оператор сл руху</t>
  </si>
  <si>
    <t>Робітник з благоустрою 6</t>
  </si>
  <si>
    <t>Ловець 2</t>
  </si>
  <si>
    <t>Ветлікар</t>
  </si>
  <si>
    <t>Фельдшер</t>
  </si>
  <si>
    <t>Бульдозеристи 4</t>
  </si>
  <si>
    <t>Водії легкових 3</t>
  </si>
  <si>
    <t>Водії бочки 2</t>
  </si>
  <si>
    <t>Водії інші 1</t>
  </si>
  <si>
    <t>Всього</t>
  </si>
  <si>
    <t>Машиніст котельні 2</t>
  </si>
  <si>
    <t>Баранова Ю. М.</t>
  </si>
  <si>
    <t>Волик О. С.</t>
  </si>
  <si>
    <t>Мамалига В. В.</t>
  </si>
  <si>
    <t>Роговий В. В.</t>
  </si>
  <si>
    <t>Роговик Є. С.</t>
  </si>
  <si>
    <t>Савенко О. С.</t>
  </si>
  <si>
    <t>Дмитрієнко А. П.</t>
  </si>
  <si>
    <t>Крижня В. В.</t>
  </si>
  <si>
    <t>Рудик Т. В.</t>
  </si>
  <si>
    <t>Хмельов В. О.</t>
  </si>
  <si>
    <t>0.00</t>
  </si>
  <si>
    <t>Абукаре О. О.</t>
  </si>
  <si>
    <t>Клименко Ю. В.</t>
  </si>
  <si>
    <t>ВСЬОГО</t>
  </si>
  <si>
    <t>Всього за рік</t>
  </si>
  <si>
    <t>Підсумок нарахувань та утримань</t>
  </si>
  <si>
    <t>за 9 Місяців 2015 р.</t>
  </si>
  <si>
    <t>Нарахування</t>
  </si>
  <si>
    <t>Нараховано</t>
  </si>
  <si>
    <t>Дні</t>
  </si>
  <si>
    <t>Години</t>
  </si>
  <si>
    <t>Утримання</t>
  </si>
  <si>
    <t>Утримано</t>
  </si>
  <si>
    <t>Оклад/тариф</t>
  </si>
  <si>
    <t>1202185.15</t>
  </si>
  <si>
    <t>71156.00</t>
  </si>
  <si>
    <t>Профспілковий внесок</t>
  </si>
  <si>
    <t>18022.79</t>
  </si>
  <si>
    <t>Щомісячна премія</t>
  </si>
  <si>
    <t>453124.25</t>
  </si>
  <si>
    <t xml:space="preserve"> </t>
  </si>
  <si>
    <t>Податок з доходів ФО</t>
  </si>
  <si>
    <t>327779.07</t>
  </si>
  <si>
    <t>Відпускні</t>
  </si>
  <si>
    <t>212144.72</t>
  </si>
  <si>
    <t>ЄСВ з працівника</t>
  </si>
  <si>
    <t>78363.96</t>
  </si>
  <si>
    <t>Допл. за работу у свята (вихідні)</t>
  </si>
  <si>
    <t>13425.46</t>
  </si>
  <si>
    <t>974.00</t>
  </si>
  <si>
    <t>ЄСВ з працівника лікарняні</t>
  </si>
  <si>
    <t>201.75</t>
  </si>
  <si>
    <t>Премія до дня комунальника</t>
  </si>
  <si>
    <t>13050.00</t>
  </si>
  <si>
    <t>ЄСВ з працівника ЦПХ</t>
  </si>
  <si>
    <t>1325.57</t>
  </si>
  <si>
    <t>Індексація зарплати</t>
  </si>
  <si>
    <t>154683.35</t>
  </si>
  <si>
    <t>Військовий збір з працівника</t>
  </si>
  <si>
    <t>33567.70</t>
  </si>
  <si>
    <t>Допл. за ремонт</t>
  </si>
  <si>
    <t>12797.35</t>
  </si>
  <si>
    <t>781.00</t>
  </si>
  <si>
    <t>Аліменти</t>
  </si>
  <si>
    <t>17188.88</t>
  </si>
  <si>
    <t>Допл. за класность</t>
  </si>
  <si>
    <t>16539.51</t>
  </si>
  <si>
    <t>Пошт. збір (відсоток банку)</t>
  </si>
  <si>
    <t>Премія за вант.розв. роботи</t>
  </si>
  <si>
    <t>Допл. за розш. зони обслугов.</t>
  </si>
  <si>
    <t>30625.93</t>
  </si>
  <si>
    <t>Допл. за нічний час</t>
  </si>
  <si>
    <t>12102.49</t>
  </si>
  <si>
    <t>2981.00</t>
  </si>
  <si>
    <t>Допл. за суміщ. посад</t>
  </si>
  <si>
    <t>6162.16</t>
  </si>
  <si>
    <t>568.00</t>
  </si>
  <si>
    <t>Оплата за договором ГПХ</t>
  </si>
  <si>
    <t>50982.25</t>
  </si>
  <si>
    <t>Допл. за керів. бригадою</t>
  </si>
  <si>
    <t>6207.75</t>
  </si>
  <si>
    <t>Оплата годин за середнім</t>
  </si>
  <si>
    <t>4868.28</t>
  </si>
  <si>
    <t>180.00</t>
  </si>
  <si>
    <t>Оплата часов по среднему (мобилизация)</t>
  </si>
  <si>
    <t>37135.40</t>
  </si>
  <si>
    <t>1473.00</t>
  </si>
  <si>
    <t>4139.94</t>
  </si>
  <si>
    <t>Оплата днів за середнім</t>
  </si>
  <si>
    <t>2533.80</t>
  </si>
  <si>
    <t>Допл. за відпускними</t>
  </si>
  <si>
    <t>Надбавка персональна</t>
  </si>
  <si>
    <t>22835.56</t>
  </si>
  <si>
    <t>Оплата лікарн. соцстр.</t>
  </si>
  <si>
    <t>5210.83</t>
  </si>
  <si>
    <t>Лікарняні за рах. підпр.</t>
  </si>
  <si>
    <t>4876.43</t>
  </si>
  <si>
    <t>Компенс. відпустки</t>
  </si>
  <si>
    <t>8968.32</t>
  </si>
  <si>
    <t>Допл. за грузчика</t>
  </si>
  <si>
    <t>382.35</t>
  </si>
  <si>
    <t>Вихідна допомога</t>
  </si>
  <si>
    <t>7069.42</t>
  </si>
  <si>
    <t>Всього нараховано:</t>
  </si>
  <si>
    <t>78113.00</t>
  </si>
  <si>
    <t>Всього утримано:</t>
  </si>
  <si>
    <t>476449.72</t>
  </si>
  <si>
    <t>Вивезення побутових відходів</t>
  </si>
  <si>
    <t>Вивезення рідких побутових відходів</t>
  </si>
  <si>
    <t>Плановий рік (2016 рік)</t>
  </si>
  <si>
    <t>Прогноз на поточний рік (2015 рік)</t>
  </si>
  <si>
    <t>Факт минулого року                    (2014 рік)</t>
  </si>
  <si>
    <t>витрати на сплату податків</t>
  </si>
  <si>
    <t>витрати на послуги по перевезенню ТПВ</t>
  </si>
  <si>
    <t>1058/1</t>
  </si>
  <si>
    <t>1058/2</t>
  </si>
  <si>
    <t>1058/3</t>
  </si>
  <si>
    <t>витрати на злив стоків</t>
  </si>
  <si>
    <t>1058/4</t>
  </si>
  <si>
    <t>витрати на послуги з ремонту автотранспорту</t>
  </si>
  <si>
    <t>1058/5</t>
  </si>
  <si>
    <t>витрати на послуги охорони</t>
  </si>
  <si>
    <t>1058/6</t>
  </si>
  <si>
    <t>витрати на оренду контейнерів</t>
  </si>
  <si>
    <t>1058/7</t>
  </si>
  <si>
    <t>витрати на придбання корму для собак</t>
  </si>
  <si>
    <t>1058/8</t>
  </si>
  <si>
    <t>1058/9</t>
  </si>
  <si>
    <t>витрати матеріалів, запасних частин</t>
  </si>
  <si>
    <t>1058/10</t>
  </si>
  <si>
    <t>1102/1</t>
  </si>
  <si>
    <t>послуги банків з приймання комунальних платежів</t>
  </si>
  <si>
    <t>послуги по супроводу програми 1С</t>
  </si>
  <si>
    <t>1102/2</t>
  </si>
  <si>
    <t>1102/3</t>
  </si>
  <si>
    <t>витрати на придбання канцелярського приладдя, конвертів</t>
  </si>
  <si>
    <t>1102/4</t>
  </si>
  <si>
    <t>1102/5</t>
  </si>
  <si>
    <t>1102/6</t>
  </si>
  <si>
    <t>1102/7</t>
  </si>
  <si>
    <t>витрати на придбання канцелярського приладдя</t>
  </si>
  <si>
    <t>витрати на придбання конвертів</t>
  </si>
  <si>
    <t>1125/1</t>
  </si>
  <si>
    <t>1125/2</t>
  </si>
  <si>
    <t>сплата місцевих податків</t>
  </si>
  <si>
    <t>1125/3</t>
  </si>
  <si>
    <t>витрати на мобільні переговори</t>
  </si>
  <si>
    <t>1125/4</t>
  </si>
  <si>
    <t>1125/5</t>
  </si>
  <si>
    <t>виплата пільгової пенсії (зварювальники)</t>
  </si>
  <si>
    <t>1125/6</t>
  </si>
  <si>
    <t>Фінансові витрати (відсотки за корист. овердрафтом)</t>
  </si>
  <si>
    <t>нарахування амортизації на безкоштовно отримані ОС</t>
  </si>
  <si>
    <t>Збір за  розміщення відходів в спец.відвед.місцях, ДПІ у Черкаському р-ні</t>
  </si>
  <si>
    <t>Збір за забруднення навколиш. природн. середовища стаціонар. джер. забруднення</t>
  </si>
  <si>
    <t>Податок на землю (район)</t>
  </si>
  <si>
    <t>Податок на землю</t>
  </si>
  <si>
    <t>Податок на воду</t>
  </si>
  <si>
    <t>Сбор за користування радіочастотами</t>
  </si>
  <si>
    <t>Збір за викиди стаціонарними джерелами забруд., ДПІ у Черк.рай.</t>
  </si>
  <si>
    <t>2014 рік</t>
  </si>
  <si>
    <t>дохід від оренди контейнерів, автомобілів та невиробничих приміщень</t>
  </si>
  <si>
    <t>інші витрати операційної діяльності (оплата стац. зв’язку, відшкод. комун. послуг., оплата штрафу)</t>
  </si>
  <si>
    <t>Від вивезення ТПВ</t>
  </si>
  <si>
    <t>Від захоронення ТПВ по талонах</t>
  </si>
  <si>
    <t>Від вивезення РПВ</t>
  </si>
  <si>
    <t>Відлов та утримання безпритульних тварин</t>
  </si>
  <si>
    <t>нарахування резурву відпусток</t>
  </si>
  <si>
    <t>1058/11</t>
  </si>
  <si>
    <t>витрати на страхування</t>
  </si>
  <si>
    <t>витрати по списанню матеріалів, запасних частин</t>
  </si>
  <si>
    <t>0,0</t>
  </si>
  <si>
    <t>1102/8</t>
  </si>
  <si>
    <t>послуги банків з розрахунково-касового обслуговування</t>
  </si>
  <si>
    <t>витрати на обслуговування комп’ютерної техніки, РРО, заправка картриджів</t>
  </si>
  <si>
    <t>амортизація ОС</t>
  </si>
  <si>
    <t>інші витрати виробничої діяльності (послуги доставки вантажу, витрати на опалення приміщень КП "ЧСЧ", ремонт дороги полігону, витрати на охорону праці та інші поточні витрати)</t>
  </si>
  <si>
    <t>інші поточні адміністративні витрати</t>
  </si>
  <si>
    <t>2146/2</t>
  </si>
  <si>
    <t>2146/3</t>
  </si>
  <si>
    <t>2146/4</t>
  </si>
  <si>
    <t>2146/6</t>
  </si>
  <si>
    <t>2146/7</t>
  </si>
  <si>
    <t>2146/8</t>
  </si>
  <si>
    <t>2146/9</t>
  </si>
  <si>
    <t>Реалізація продукції (товарів, робіт, послуг)</t>
  </si>
  <si>
    <t>Надходження від:</t>
  </si>
  <si>
    <t>Витрачання на оплату:</t>
  </si>
  <si>
    <t>Товарів, робіт, послуг</t>
  </si>
  <si>
    <t>Праці</t>
  </si>
  <si>
    <t>Відрахувань на соціальні заходи</t>
  </si>
  <si>
    <t>Зобовязань з податків і зборів</t>
  </si>
  <si>
    <t>Витрачання на оплату зобовязань з ПДВ</t>
  </si>
  <si>
    <t>Інші витрачання</t>
  </si>
  <si>
    <t>3070/1</t>
  </si>
  <si>
    <t>3070/2</t>
  </si>
  <si>
    <t xml:space="preserve"> 3070/1/1</t>
  </si>
  <si>
    <t xml:space="preserve"> 3070/1/2</t>
  </si>
  <si>
    <t xml:space="preserve"> 3070/2/1</t>
  </si>
  <si>
    <t xml:space="preserve"> 3070/2/2</t>
  </si>
  <si>
    <t xml:space="preserve"> 3070/2/3</t>
  </si>
  <si>
    <t xml:space="preserve"> 3070/2/4</t>
  </si>
  <si>
    <t xml:space="preserve"> 3070/2/5</t>
  </si>
  <si>
    <t xml:space="preserve"> 3070/2/6</t>
  </si>
  <si>
    <t xml:space="preserve"> 3070/2/7</t>
  </si>
  <si>
    <t xml:space="preserve"> 3070/1/3</t>
  </si>
  <si>
    <t xml:space="preserve"> 3070/1/4</t>
  </si>
  <si>
    <t>Повернення інших податків і зборів</t>
  </si>
  <si>
    <t>Боржників неустойки</t>
  </si>
  <si>
    <t>Інші надходження</t>
  </si>
  <si>
    <t>Повернення авансів</t>
  </si>
  <si>
    <t>Грошові кошти від операційної діяльності, у т.ч.:</t>
  </si>
  <si>
    <t>Цільове фінансування  (оплата пільг та субсидій)</t>
  </si>
  <si>
    <t>кількість продукції/             наданих послуг, одиниця виміру, м.куб. ТПВ</t>
  </si>
  <si>
    <t>Утримання безпритульних тварин (середня кількість тварин на утриманні)</t>
  </si>
  <si>
    <t>План із залучення коштів, тис.грн.</t>
  </si>
  <si>
    <t>План з повернення коштів, тис.грн.</t>
  </si>
  <si>
    <t xml:space="preserve"> -</t>
  </si>
  <si>
    <t>Шевроле Авео</t>
  </si>
  <si>
    <t>для службових роз’їздів</t>
  </si>
  <si>
    <t>Чистий дохід від реалізації продукції (товарів, робіт, послуг), в т.ч. за видами діяльності:</t>
  </si>
  <si>
    <t>Собівартість реалізованої продукції (товарів, робіт, послуг), в т.ч. за видами діяльності:</t>
  </si>
  <si>
    <t>тис.грн.</t>
  </si>
  <si>
    <t>Директор  КП "ЧСЧ"</t>
  </si>
  <si>
    <t>Витрати на оплату праці (з/п+нарахування), тис. гривень, у тому числі:</t>
  </si>
  <si>
    <t>Середньомісячна заробітна плата одного працівника (нараховано до виплати), гривень</t>
  </si>
  <si>
    <t>Середньомісячний дохід одного працівника (фактично виплачено), гривень</t>
  </si>
  <si>
    <t>1058/12</t>
  </si>
  <si>
    <t>Додаток</t>
  </si>
  <si>
    <t>ЗАТВЕРДЖЕНО</t>
  </si>
  <si>
    <t>рішення виконавчого комітету</t>
  </si>
  <si>
    <t>Черкаської міської ради</t>
  </si>
  <si>
    <t>від _________________№________</t>
  </si>
  <si>
    <t>інші витрати, в т.ч.:</t>
  </si>
  <si>
    <t>4020/1</t>
  </si>
  <si>
    <t>О.С. Савенко</t>
  </si>
  <si>
    <t>О.С.Савенко</t>
  </si>
  <si>
    <t>Фінансовий план на 2017 рік</t>
  </si>
  <si>
    <t>придбання (виготовлення) основних засобів, в т.ч.:</t>
  </si>
  <si>
    <t>Реконструкція приміщення для зберігання       ветеринарних препаратів, що містять наркотичні складові</t>
  </si>
  <si>
    <t>4050/2</t>
  </si>
  <si>
    <t>модернізація, модифікація (добудова, дообладнання, реконструкція) ОС</t>
  </si>
  <si>
    <t>придбання (виготовлення) інших необоротних матеріальних активів, в т.ч.:</t>
  </si>
  <si>
    <t>Придбання контейнерів для збору ТПВ</t>
  </si>
  <si>
    <t>4020/2</t>
  </si>
  <si>
    <t>Чистий дохід  від реалізації продукції (товарів, робіт, послуг), тис. гривень</t>
  </si>
  <si>
    <t>Заборгованість за кредитами на початок 2017 року, тис.грн.</t>
  </si>
  <si>
    <t>Заборгованість за кредитами на кінець 2017 року, тис.грн.</t>
  </si>
  <si>
    <t>1040/1</t>
  </si>
  <si>
    <t>1040/2</t>
  </si>
  <si>
    <t>1040/3</t>
  </si>
  <si>
    <t>1040/4</t>
  </si>
  <si>
    <t>1050/1</t>
  </si>
  <si>
    <t>1050/2</t>
  </si>
  <si>
    <t>1050/3</t>
  </si>
  <si>
    <t>1050/4</t>
  </si>
  <si>
    <t>Доходи</t>
  </si>
  <si>
    <t>Відлов та утримання тварин</t>
  </si>
  <si>
    <t>Кільк/міс</t>
  </si>
  <si>
    <t>Тариф</t>
  </si>
  <si>
    <t>Населення</t>
  </si>
  <si>
    <t>Бюджет</t>
  </si>
  <si>
    <t>комерц</t>
  </si>
  <si>
    <t>За рік</t>
  </si>
  <si>
    <t>За міс</t>
  </si>
  <si>
    <t>За квартал</t>
  </si>
  <si>
    <t>витрати на сировину та основні матеріали, запч.</t>
  </si>
  <si>
    <t>Придбання кліток для перевезення тварин</t>
  </si>
  <si>
    <t>волик</t>
  </si>
  <si>
    <t>роговик</t>
  </si>
  <si>
    <t>крижня</t>
  </si>
  <si>
    <t>дмитрієнко</t>
  </si>
  <si>
    <t>слинько</t>
  </si>
  <si>
    <t>роговий</t>
  </si>
  <si>
    <t>Зміни умов контракту</t>
  </si>
  <si>
    <t>Підвищення посад окл прац.</t>
  </si>
  <si>
    <t>275 соб/день</t>
  </si>
  <si>
    <t>Придбання петель для відлову тварин</t>
  </si>
  <si>
    <t>Придбання рушниць для відлову тварин</t>
  </si>
  <si>
    <t>4020/3</t>
  </si>
  <si>
    <t>Будівництво контейнерного  майданчику для ТПВ по вул. Яцика, 8/2</t>
  </si>
  <si>
    <t>4020/4</t>
  </si>
  <si>
    <t>4020/5</t>
  </si>
  <si>
    <t>4020/6</t>
  </si>
  <si>
    <t>Будівництво контейнерного  майданчику для ТПВ по вул. Лупиноса, 35/1-37</t>
  </si>
  <si>
    <t>Будівництво контейнерного  майданчику для ТПВ по вул. Чехова, 9а</t>
  </si>
  <si>
    <t>Будівництво контейнерного  майданчику для ТПВ по вул. Чайковського, 63</t>
  </si>
  <si>
    <t>Будівництво контейнерного  майданчику для ТПВ по вул. Гоголя, 290</t>
  </si>
  <si>
    <t>4020/7</t>
  </si>
  <si>
    <t>Придбання морозильної камери (притулок для утр. тварин)</t>
  </si>
  <si>
    <t>Придбання холодильника (притулок для утр. тварин)</t>
  </si>
  <si>
    <t>Придбання вагів (притулок для утр. тварин)</t>
  </si>
  <si>
    <t>Придбання вольєрів для утримання тварин</t>
  </si>
  <si>
    <t>4030/1</t>
  </si>
  <si>
    <t>4030/2</t>
  </si>
  <si>
    <t>Факт 2016 року</t>
  </si>
  <si>
    <t>4010/1</t>
  </si>
  <si>
    <t>4010/2</t>
  </si>
  <si>
    <t>4010/3</t>
  </si>
  <si>
    <t>4010/4</t>
  </si>
  <si>
    <t>4010/5</t>
  </si>
  <si>
    <t>4010/6</t>
  </si>
  <si>
    <t>4010/7</t>
  </si>
  <si>
    <t>4010/8</t>
  </si>
  <si>
    <t>Інше</t>
  </si>
  <si>
    <t>ЄСВ</t>
  </si>
  <si>
    <t>придбання (виготовлення) ОС</t>
  </si>
  <si>
    <t>Капітальне будівництво</t>
  </si>
  <si>
    <t>придбання (виготовлення) інших НМА</t>
  </si>
  <si>
    <t>Модернізація, добудова</t>
  </si>
  <si>
    <t>8.  Капітальне будівництво (рядок 4010 таблиці 4)</t>
  </si>
  <si>
    <t>Загальна інформація про підприємство (резюме)</t>
  </si>
  <si>
    <t>1. Дані про підприємство, персонал та фонд заробітної плати:</t>
  </si>
  <si>
    <t>Фінансовий план 2017 року</t>
  </si>
  <si>
    <t>Фінансовий план на 2018 рік</t>
  </si>
  <si>
    <t>Фінансова підтримка на виконання заходів по забезпеченню екологічного збирання, перевезення, зберігання та утилізації відходів</t>
  </si>
  <si>
    <t>1050/5</t>
  </si>
  <si>
    <t>Послуги з ремонту огороджувальної дамби полігону ТПВ</t>
  </si>
  <si>
    <t xml:space="preserve">витрати на ремонтні роботи </t>
  </si>
  <si>
    <t>відрахування єдиного соціального внеску</t>
  </si>
  <si>
    <t>стерилізація+утримання</t>
  </si>
  <si>
    <t>Послуги Умвельт</t>
  </si>
  <si>
    <t>юридичні та нотаріальні послуги</t>
  </si>
  <si>
    <t>Послуги з стерилізації собак</t>
  </si>
  <si>
    <t>1058/13</t>
  </si>
  <si>
    <t>витрати на оплату праці, в т.ч.:</t>
  </si>
  <si>
    <t>заробітна плата робітників притулку</t>
  </si>
  <si>
    <t>1054/1</t>
  </si>
  <si>
    <t>сплата ЄСВ нарахованого на заробітну плату</t>
  </si>
  <si>
    <t>заробітна плата</t>
  </si>
  <si>
    <t>Корм</t>
  </si>
  <si>
    <t>Стерилізація</t>
  </si>
  <si>
    <t>1102/9</t>
  </si>
  <si>
    <t>Відрахування до резерву відпусток</t>
  </si>
  <si>
    <t>інші поточні витрати на збут (ремонт компютера, заправка картриджу, зв'язок та інше)</t>
  </si>
  <si>
    <t>витрати на рекламу, розробку сайту</t>
  </si>
  <si>
    <t>4010/9</t>
  </si>
  <si>
    <t>4010/10</t>
  </si>
  <si>
    <t>Будівництво контейнерних майданчиків для збору ТПВ по бульв.Шевченка, 345; вул.Новопречистенська, 15; Новопречистеньска, 40; вул. Різдвяна, 43; вул. Чехова, 17а; вул. М.Залізняка, 29/1; вул. Ярославська, 32; вул. Героїв Дніпра, 81,69,53,49; вул.Гагаріна, 55; вул.Смірнова, 2; вул.Чайковського, 54.</t>
  </si>
  <si>
    <t>Послуги з будівництва контейнерних майданчиків (15 об’єктів)</t>
  </si>
  <si>
    <t>Будівництво контейнерного майданчику для ТПВ по вул. Небесної сотні, 41-45</t>
  </si>
  <si>
    <t>Будівництво контейнерного майданчику для ТПВ по вул. Громова, 96/1</t>
  </si>
  <si>
    <t>Будівництво контейнерних майданчиків для ТПВ за адресами згідно переліку (з ПКД)</t>
  </si>
  <si>
    <t>Придбання спецтехніки</t>
  </si>
  <si>
    <t>4030/3</t>
  </si>
  <si>
    <t>4050/1</t>
  </si>
  <si>
    <t>до фінансового плану на 2018 рік</t>
  </si>
  <si>
    <t>Роговик</t>
  </si>
  <si>
    <t>Коваленко</t>
  </si>
  <si>
    <t>Слинько</t>
  </si>
  <si>
    <t>Хмельов</t>
  </si>
  <si>
    <t>Клименко</t>
  </si>
  <si>
    <t>Абукаре4</t>
  </si>
  <si>
    <t>Роговий</t>
  </si>
  <si>
    <t>Крижня</t>
  </si>
  <si>
    <t>Дмитрієнко</t>
  </si>
  <si>
    <t>Полонська</t>
  </si>
  <si>
    <t>Чмир</t>
  </si>
  <si>
    <t>Рудик</t>
  </si>
  <si>
    <t>Волик</t>
  </si>
  <si>
    <t>Згуровський</t>
  </si>
  <si>
    <t>Фактичний показник за 2016 рік</t>
  </si>
  <si>
    <t>Питома вага в загальному обсязі реалізації, %</t>
  </si>
  <si>
    <t>Фактичний показник  2017 рік</t>
  </si>
  <si>
    <t>Плановий показник 2018 року</t>
  </si>
  <si>
    <t>за минулий рік</t>
  </si>
  <si>
    <t>за плановий рік</t>
  </si>
  <si>
    <r>
      <t>у тому числі:</t>
    </r>
    <r>
      <rPr>
        <i/>
        <sz val="12"/>
        <rFont val="Times New Roman"/>
        <family val="1"/>
        <charset val="204"/>
      </rPr>
      <t xml:space="preserve"> </t>
    </r>
  </si>
  <si>
    <t>Захоронення побутових відходів по талонах</t>
  </si>
  <si>
    <t>НА 2018 РІК</t>
  </si>
  <si>
    <t>4020/8</t>
  </si>
  <si>
    <t>Прогнозний показник 2017 року</t>
  </si>
  <si>
    <t>КОМУНАЛЬНОГО ПІДПРИЄМСТВА "ЧЕРКАСЬКА СЛУЖБА ЧИСТОТИ" ЧЕРКАСЬКОЇ МІСЬКОЇ РАДИ</t>
  </si>
  <si>
    <t>Збільшення обсягів надання послуг призводить до збільшення необхіної кількості персоналу підприємства</t>
  </si>
  <si>
    <t>1055/1</t>
  </si>
</sst>
</file>

<file path=xl/styles.xml><?xml version="1.0" encoding="utf-8"?>
<styleSheet xmlns="http://schemas.openxmlformats.org/spreadsheetml/2006/main">
  <numFmts count="16">
    <numFmt numFmtId="6" formatCode="#,##0&quot;р.&quot;;[Red]\-#,##0&quot;р.&quot;"/>
    <numFmt numFmtId="7" formatCode="#,##0.00&quot;р.&quot;;\-#,##0.00&quot;р.&quot;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г_р_н_._-;\-* #,##0.00\ _г_р_н_._-;_-* &quot;-&quot;??\ _г_р_н_._-;_-@_-"/>
    <numFmt numFmtId="165" formatCode="_-* #,##0.00_₴_-;\-* #,##0.00_₴_-;_-* &quot;-&quot;??_₴_-;_-@_-"/>
    <numFmt numFmtId="166" formatCode="0.0"/>
    <numFmt numFmtId="167" formatCode="#,##0.0"/>
    <numFmt numFmtId="168" formatCode="###\ ##0.000"/>
    <numFmt numFmtId="169" formatCode="_(&quot;$&quot;* #,##0.00_);_(&quot;$&quot;* \(#,##0.00\);_(&quot;$&quot;* &quot;-&quot;??_);_(@_)"/>
    <numFmt numFmtId="170" formatCode="_(* #,##0_);_(* \(#,##0\);_(* &quot;-&quot;_);_(@_)"/>
    <numFmt numFmtId="171" formatCode="_(* #,##0.00_);_(* \(#,##0.00\);_(* &quot;-&quot;??_);_(@_)"/>
    <numFmt numFmtId="172" formatCode="#,##0.0_ ;[Red]\-#,##0.0\ "/>
    <numFmt numFmtId="173" formatCode="0.0;\(0.0\);\ ;\-"/>
    <numFmt numFmtId="174" formatCode="dd\.mm\.yyyy;@"/>
    <numFmt numFmtId="175" formatCode="_-* #,##0.0_₴_-;\-* #,##0.0_₴_-;_-* &quot;-&quot;??_₴_-;_-@_-"/>
  </numFmts>
  <fonts count="8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i/>
      <sz val="14"/>
      <name val="Times New Roman"/>
      <family val="1"/>
      <charset val="204"/>
    </font>
    <font>
      <b/>
      <sz val="10"/>
      <name val="Arial Cyr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56"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0" fillId="12" borderId="0" applyNumberFormat="0" applyBorder="0" applyAlignment="0" applyProtection="0"/>
    <xf numFmtId="0" fontId="12" fillId="12" borderId="0" applyNumberFormat="0" applyBorder="0" applyAlignment="0" applyProtection="0"/>
    <xf numFmtId="0" fontId="30" fillId="9" borderId="0" applyNumberFormat="0" applyBorder="0" applyAlignment="0" applyProtection="0"/>
    <xf numFmtId="0" fontId="12" fillId="9" borderId="0" applyNumberFormat="0" applyBorder="0" applyAlignment="0" applyProtection="0"/>
    <xf numFmtId="0" fontId="30" fillId="10" borderId="0" applyNumberFormat="0" applyBorder="0" applyAlignment="0" applyProtection="0"/>
    <xf numFmtId="0" fontId="12" fillId="10" borderId="0" applyNumberFormat="0" applyBorder="0" applyAlignment="0" applyProtection="0"/>
    <xf numFmtId="0" fontId="30" fillId="13" borderId="0" applyNumberFormat="0" applyBorder="0" applyAlignment="0" applyProtection="0"/>
    <xf numFmtId="0" fontId="12" fillId="13" borderId="0" applyNumberFormat="0" applyBorder="0" applyAlignment="0" applyProtection="0"/>
    <xf numFmtId="0" fontId="30" fillId="14" borderId="0" applyNumberFormat="0" applyBorder="0" applyAlignment="0" applyProtection="0"/>
    <xf numFmtId="0" fontId="12" fillId="14" borderId="0" applyNumberFormat="0" applyBorder="0" applyAlignment="0" applyProtection="0"/>
    <xf numFmtId="0" fontId="30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3" fillId="3" borderId="0" applyNumberFormat="0" applyBorder="0" applyAlignment="0" applyProtection="0"/>
    <xf numFmtId="0" fontId="15" fillId="20" borderId="1" applyNumberFormat="0" applyAlignment="0" applyProtection="0"/>
    <xf numFmtId="0" fontId="20" fillId="21" borderId="2" applyNumberFormat="0" applyAlignment="0" applyProtection="0"/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164" fontId="9" fillId="0" borderId="0" applyFont="0" applyFill="0" applyBorder="0" applyAlignment="0" applyProtection="0"/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0" fontId="24" fillId="0" borderId="0" applyNumberFormat="0" applyFill="0" applyBorder="0" applyAlignment="0" applyProtection="0"/>
    <xf numFmtId="168" fontId="32" fillId="0" borderId="0" applyAlignment="0">
      <alignment wrapText="1"/>
    </xf>
    <xf numFmtId="0" fontId="27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34" fillId="22" borderId="7">
      <alignment horizontal="left" vertical="center"/>
      <protection locked="0"/>
    </xf>
    <xf numFmtId="49" fontId="34" fillId="22" borderId="7">
      <alignment horizontal="left" vertical="center"/>
    </xf>
    <xf numFmtId="4" fontId="34" fillId="22" borderId="7">
      <alignment horizontal="right" vertical="center"/>
      <protection locked="0"/>
    </xf>
    <xf numFmtId="4" fontId="34" fillId="22" borderId="7">
      <alignment horizontal="right" vertical="center"/>
    </xf>
    <xf numFmtId="4" fontId="35" fillId="22" borderId="7">
      <alignment horizontal="righ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</xf>
    <xf numFmtId="4" fontId="38" fillId="22" borderId="3">
      <alignment horizontal="right" vertical="center"/>
      <protection locked="0"/>
    </xf>
    <xf numFmtId="49" fontId="31" fillId="22" borderId="3">
      <alignment horizontal="left" vertical="center"/>
      <protection locked="0"/>
    </xf>
    <xf numFmtId="49" fontId="31" fillId="22" borderId="3">
      <alignment horizontal="left" vertical="center"/>
      <protection locked="0"/>
    </xf>
    <xf numFmtId="49" fontId="31" fillId="22" borderId="3">
      <alignment horizontal="left" vertical="center"/>
    </xf>
    <xf numFmtId="49" fontId="31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1" fillId="22" borderId="3">
      <alignment horizontal="right" vertical="center"/>
      <protection locked="0"/>
    </xf>
    <xf numFmtId="4" fontId="31" fillId="22" borderId="3">
      <alignment horizontal="right" vertical="center"/>
      <protection locked="0"/>
    </xf>
    <xf numFmtId="4" fontId="31" fillId="22" borderId="3">
      <alignment horizontal="right" vertical="center"/>
    </xf>
    <xf numFmtId="4" fontId="31" fillId="22" borderId="3">
      <alignment horizontal="right" vertical="center"/>
    </xf>
    <xf numFmtId="4" fontId="35" fillId="22" borderId="3">
      <alignment horizontal="right" vertical="center"/>
      <protection locked="0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9" fillId="22" borderId="3">
      <alignment horizontal="right" vertical="center"/>
      <protection locked="0"/>
    </xf>
    <xf numFmtId="4" fontId="39" fillId="22" borderId="3">
      <alignment horizontal="right" vertical="center"/>
    </xf>
    <xf numFmtId="4" fontId="41" fillId="22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</xf>
    <xf numFmtId="4" fontId="43" fillId="0" borderId="3">
      <alignment horizontal="right" vertical="center"/>
      <protection locked="0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" fontId="44" fillId="0" borderId="3">
      <alignment horizontal="right" vertical="center"/>
      <protection locked="0"/>
    </xf>
    <xf numFmtId="4" fontId="44" fillId="0" borderId="3">
      <alignment horizontal="right" vertical="center"/>
    </xf>
    <xf numFmtId="49" fontId="42" fillId="0" borderId="3">
      <alignment horizontal="left" vertical="center"/>
      <protection locked="0"/>
    </xf>
    <xf numFmtId="49" fontId="43" fillId="0" borderId="3">
      <alignment horizontal="left" vertical="center"/>
      <protection locked="0"/>
    </xf>
    <xf numFmtId="4" fontId="42" fillId="0" borderId="3">
      <alignment horizontal="right" vertical="center"/>
      <protection locked="0"/>
    </xf>
    <xf numFmtId="0" fontId="25" fillId="0" borderId="8" applyNumberFormat="0" applyFill="0" applyAlignment="0" applyProtection="0"/>
    <xf numFmtId="0" fontId="22" fillId="23" borderId="0" applyNumberFormat="0" applyBorder="0" applyAlignment="0" applyProtection="0"/>
    <xf numFmtId="0" fontId="9" fillId="0" borderId="0"/>
    <xf numFmtId="0" fontId="9" fillId="0" borderId="0"/>
    <xf numFmtId="0" fontId="9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6" fillId="26" borderId="3">
      <alignment horizontal="right" vertical="center"/>
      <protection locked="0"/>
    </xf>
    <xf numFmtId="4" fontId="46" fillId="27" borderId="3">
      <alignment horizontal="right" vertical="center"/>
      <protection locked="0"/>
    </xf>
    <xf numFmtId="4" fontId="46" fillId="28" borderId="3">
      <alignment horizontal="right" vertical="center"/>
      <protection locked="0"/>
    </xf>
    <xf numFmtId="0" fontId="14" fillId="20" borderId="10" applyNumberFormat="0" applyAlignment="0" applyProtection="0"/>
    <xf numFmtId="49" fontId="31" fillId="0" borderId="3">
      <alignment horizontal="left" vertical="center" wrapText="1"/>
      <protection locked="0"/>
    </xf>
    <xf numFmtId="49" fontId="31" fillId="0" borderId="3">
      <alignment horizontal="left" vertical="center" wrapText="1"/>
      <protection locked="0"/>
    </xf>
    <xf numFmtId="0" fontId="21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12" fillId="16" borderId="0" applyNumberFormat="0" applyBorder="0" applyAlignment="0" applyProtection="0"/>
    <xf numFmtId="0" fontId="30" fillId="17" borderId="0" applyNumberFormat="0" applyBorder="0" applyAlignment="0" applyProtection="0"/>
    <xf numFmtId="0" fontId="12" fillId="17" borderId="0" applyNumberFormat="0" applyBorder="0" applyAlignment="0" applyProtection="0"/>
    <xf numFmtId="0" fontId="30" fillId="18" borderId="0" applyNumberFormat="0" applyBorder="0" applyAlignment="0" applyProtection="0"/>
    <xf numFmtId="0" fontId="12" fillId="18" borderId="0" applyNumberFormat="0" applyBorder="0" applyAlignment="0" applyProtection="0"/>
    <xf numFmtId="0" fontId="30" fillId="13" borderId="0" applyNumberFormat="0" applyBorder="0" applyAlignment="0" applyProtection="0"/>
    <xf numFmtId="0" fontId="12" fillId="13" borderId="0" applyNumberFormat="0" applyBorder="0" applyAlignment="0" applyProtection="0"/>
    <xf numFmtId="0" fontId="30" fillId="14" borderId="0" applyNumberFormat="0" applyBorder="0" applyAlignment="0" applyProtection="0"/>
    <xf numFmtId="0" fontId="12" fillId="14" borderId="0" applyNumberFormat="0" applyBorder="0" applyAlignment="0" applyProtection="0"/>
    <xf numFmtId="0" fontId="30" fillId="19" borderId="0" applyNumberFormat="0" applyBorder="0" applyAlignment="0" applyProtection="0"/>
    <xf numFmtId="0" fontId="12" fillId="19" borderId="0" applyNumberFormat="0" applyBorder="0" applyAlignment="0" applyProtection="0"/>
    <xf numFmtId="0" fontId="47" fillId="7" borderId="1" applyNumberFormat="0" applyAlignment="0" applyProtection="0"/>
    <xf numFmtId="0" fontId="13" fillId="7" borderId="1" applyNumberFormat="0" applyAlignment="0" applyProtection="0"/>
    <xf numFmtId="0" fontId="48" fillId="20" borderId="10" applyNumberFormat="0" applyAlignment="0" applyProtection="0"/>
    <xf numFmtId="0" fontId="14" fillId="20" borderId="10" applyNumberFormat="0" applyAlignment="0" applyProtection="0"/>
    <xf numFmtId="0" fontId="49" fillId="20" borderId="1" applyNumberFormat="0" applyAlignment="0" applyProtection="0"/>
    <xf numFmtId="0" fontId="15" fillId="20" borderId="1" applyNumberFormat="0" applyAlignment="0" applyProtection="0"/>
    <xf numFmtId="169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0" fillId="0" borderId="4" applyNumberFormat="0" applyFill="0" applyAlignment="0" applyProtection="0"/>
    <xf numFmtId="0" fontId="16" fillId="0" borderId="4" applyNumberFormat="0" applyFill="0" applyAlignment="0" applyProtection="0"/>
    <xf numFmtId="0" fontId="51" fillId="0" borderId="5" applyNumberFormat="0" applyFill="0" applyAlignment="0" applyProtection="0"/>
    <xf numFmtId="0" fontId="17" fillId="0" borderId="5" applyNumberFormat="0" applyFill="0" applyAlignment="0" applyProtection="0"/>
    <xf numFmtId="0" fontId="52" fillId="0" borderId="6" applyNumberFormat="0" applyFill="0" applyAlignment="0" applyProtection="0"/>
    <xf numFmtId="0" fontId="18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19" fillId="0" borderId="11" applyNumberFormat="0" applyFill="0" applyAlignment="0" applyProtection="0"/>
    <xf numFmtId="0" fontId="54" fillId="21" borderId="2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2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9" fillId="0" borderId="0"/>
    <xf numFmtId="0" fontId="2" fillId="0" borderId="0"/>
    <xf numFmtId="0" fontId="9" fillId="0" borderId="0"/>
    <xf numFmtId="0" fontId="9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56" fillId="3" borderId="0" applyNumberFormat="0" applyBorder="0" applyAlignment="0" applyProtection="0"/>
    <xf numFmtId="0" fontId="23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25" borderId="9" applyNumberFormat="0" applyFont="0" applyAlignment="0" applyProtection="0"/>
    <xf numFmtId="0" fontId="9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8" applyNumberFormat="0" applyFill="0" applyAlignment="0" applyProtection="0"/>
    <xf numFmtId="0" fontId="25" fillId="0" borderId="8" applyNumberFormat="0" applyFill="0" applyAlignment="0" applyProtection="0"/>
    <xf numFmtId="0" fontId="2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0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3" fillId="4" borderId="0" applyNumberFormat="0" applyBorder="0" applyAlignment="0" applyProtection="0"/>
    <xf numFmtId="0" fontId="27" fillId="4" borderId="0" applyNumberFormat="0" applyBorder="0" applyAlignment="0" applyProtection="0"/>
    <xf numFmtId="173" fontId="64" fillId="22" borderId="12" applyFill="0" applyBorder="0">
      <alignment horizontal="center" vertical="center" wrapText="1"/>
      <protection locked="0"/>
    </xf>
    <xf numFmtId="168" fontId="65" fillId="0" borderId="0">
      <alignment wrapText="1"/>
    </xf>
    <xf numFmtId="168" fontId="32" fillId="0" borderId="0">
      <alignment wrapText="1"/>
    </xf>
  </cellStyleXfs>
  <cellXfs count="385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167" fontId="6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quotePrefix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right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0" fontId="5" fillId="0" borderId="3" xfId="247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182" applyFont="1" applyFill="1" applyBorder="1" applyAlignment="1">
      <alignment vertical="center" wrapText="1"/>
      <protection locked="0"/>
    </xf>
    <xf numFmtId="0" fontId="4" fillId="0" borderId="3" xfId="182" applyFont="1" applyFill="1" applyBorder="1" applyAlignment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5" fillId="0" borderId="3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 shrinkToFit="1"/>
    </xf>
    <xf numFmtId="3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174" fontId="7" fillId="0" borderId="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 wrapText="1"/>
    </xf>
    <xf numFmtId="167" fontId="5" fillId="0" borderId="3" xfId="0" quotePrefix="1" applyNumberFormat="1" applyFont="1" applyFill="1" applyBorder="1" applyAlignment="1">
      <alignment horizontal="center" vertical="center" wrapText="1"/>
    </xf>
    <xf numFmtId="167" fontId="7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67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/>
    </xf>
    <xf numFmtId="0" fontId="71" fillId="0" borderId="0" xfId="0" applyFont="1"/>
    <xf numFmtId="0" fontId="71" fillId="0" borderId="3" xfId="0" applyFont="1" applyBorder="1" applyAlignment="1">
      <alignment horizontal="center" vertical="center"/>
    </xf>
    <xf numFmtId="0" fontId="71" fillId="0" borderId="3" xfId="0" applyFont="1" applyBorder="1"/>
    <xf numFmtId="0" fontId="71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167" fontId="4" fillId="0" borderId="3" xfId="0" applyNumberFormat="1" applyFont="1" applyFill="1" applyBorder="1" applyAlignment="1">
      <alignment horizontal="right" vertical="center" wrapText="1" indent="1"/>
    </xf>
    <xf numFmtId="167" fontId="5" fillId="0" borderId="3" xfId="0" applyNumberFormat="1" applyFont="1" applyFill="1" applyBorder="1" applyAlignment="1">
      <alignment horizontal="right" vertical="center" wrapText="1" indent="1"/>
    </xf>
    <xf numFmtId="0" fontId="72" fillId="0" borderId="3" xfId="0" applyFont="1" applyBorder="1" applyAlignment="1">
      <alignment horizontal="center" vertical="center"/>
    </xf>
    <xf numFmtId="0" fontId="72" fillId="0" borderId="3" xfId="0" applyFont="1" applyBorder="1"/>
    <xf numFmtId="0" fontId="5" fillId="0" borderId="0" xfId="0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horizontal="right" vertical="center" wrapText="1" indent="1"/>
    </xf>
    <xf numFmtId="0" fontId="4" fillId="0" borderId="0" xfId="0" applyFont="1" applyFill="1" applyAlignment="1">
      <alignment horizontal="right" vertical="center"/>
    </xf>
    <xf numFmtId="167" fontId="75" fillId="0" borderId="0" xfId="0" applyNumberFormat="1" applyFont="1" applyFill="1" applyBorder="1" applyAlignment="1">
      <alignment vertical="center"/>
    </xf>
    <xf numFmtId="167" fontId="4" fillId="0" borderId="19" xfId="0" applyNumberFormat="1" applyFont="1" applyFill="1" applyBorder="1" applyAlignment="1">
      <alignment horizontal="right" vertical="center" wrapText="1" indent="1"/>
    </xf>
    <xf numFmtId="0" fontId="71" fillId="29" borderId="3" xfId="0" applyFont="1" applyFill="1" applyBorder="1"/>
    <xf numFmtId="0" fontId="5" fillId="0" borderId="3" xfId="0" applyFont="1" applyFill="1" applyBorder="1" applyAlignment="1">
      <alignment horizontal="center" vertical="center" wrapText="1" shrinkToFit="1"/>
    </xf>
    <xf numFmtId="4" fontId="4" fillId="0" borderId="19" xfId="0" applyNumberFormat="1" applyFont="1" applyFill="1" applyBorder="1" applyAlignment="1">
      <alignment horizontal="right" vertical="center" wrapText="1" indent="1"/>
    </xf>
    <xf numFmtId="0" fontId="7" fillId="0" borderId="27" xfId="0" applyFont="1" applyFill="1" applyBorder="1" applyAlignment="1">
      <alignment horizontal="right" vertical="top" wrapText="1"/>
    </xf>
    <xf numFmtId="166" fontId="5" fillId="0" borderId="27" xfId="0" applyNumberFormat="1" applyFont="1" applyFill="1" applyBorder="1" applyAlignment="1">
      <alignment horizontal="center" vertical="center" wrapText="1"/>
    </xf>
    <xf numFmtId="167" fontId="5" fillId="0" borderId="27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75" fillId="0" borderId="3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17" xfId="0" quotePrefix="1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/>
    </xf>
    <xf numFmtId="167" fontId="4" fillId="0" borderId="0" xfId="0" quotePrefix="1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76" fillId="0" borderId="0" xfId="0" applyFont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67" fontId="4" fillId="0" borderId="3" xfId="0" quotePrefix="1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67" fontId="5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1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top" wrapText="1"/>
    </xf>
    <xf numFmtId="166" fontId="5" fillId="0" borderId="0" xfId="0" applyNumberFormat="1" applyFont="1" applyFill="1" applyBorder="1" applyAlignment="1">
      <alignment horizontal="center" vertical="center" wrapText="1"/>
    </xf>
    <xf numFmtId="0" fontId="4" fillId="0" borderId="3" xfId="0" quotePrefix="1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7" fontId="7" fillId="0" borderId="3" xfId="0" applyNumberFormat="1" applyFont="1" applyFill="1" applyBorder="1" applyAlignment="1">
      <alignment horizontal="right" vertical="center" wrapText="1" indent="1"/>
    </xf>
    <xf numFmtId="3" fontId="7" fillId="0" borderId="3" xfId="0" applyNumberFormat="1" applyFont="1" applyFill="1" applyBorder="1" applyAlignment="1">
      <alignment horizontal="right" vertical="center" wrapText="1" indent="1"/>
    </xf>
    <xf numFmtId="167" fontId="81" fillId="0" borderId="3" xfId="0" applyNumberFormat="1" applyFont="1" applyFill="1" applyBorder="1" applyAlignment="1">
      <alignment horizontal="right" vertical="center" wrapText="1" indent="1"/>
    </xf>
    <xf numFmtId="3" fontId="81" fillId="0" borderId="3" xfId="0" applyNumberFormat="1" applyFont="1" applyFill="1" applyBorder="1" applyAlignment="1">
      <alignment horizontal="right" vertical="center" wrapText="1" indent="1"/>
    </xf>
    <xf numFmtId="3" fontId="81" fillId="0" borderId="3" xfId="0" applyNumberFormat="1" applyFont="1" applyFill="1" applyBorder="1" applyAlignment="1">
      <alignment horizontal="center" vertical="center" wrapText="1"/>
    </xf>
    <xf numFmtId="0" fontId="81" fillId="0" borderId="0" xfId="0" applyFont="1" applyFill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7" fillId="0" borderId="18" xfId="0" applyFont="1" applyFill="1" applyBorder="1" applyAlignment="1">
      <alignment horizontal="center" vertical="center" wrapText="1"/>
    </xf>
    <xf numFmtId="0" fontId="81" fillId="0" borderId="3" xfId="0" applyFont="1" applyFill="1" applyBorder="1" applyAlignment="1">
      <alignment horizontal="left" vertical="center" wrapText="1"/>
    </xf>
    <xf numFmtId="0" fontId="81" fillId="0" borderId="3" xfId="0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 vertical="center" wrapText="1" shrinkToFit="1"/>
    </xf>
    <xf numFmtId="0" fontId="82" fillId="0" borderId="0" xfId="0" applyFont="1" applyFill="1" applyBorder="1" applyAlignment="1">
      <alignment horizontal="center" vertical="center" wrapText="1"/>
    </xf>
    <xf numFmtId="0" fontId="7" fillId="0" borderId="0" xfId="0" quotePrefix="1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vertical="center"/>
    </xf>
    <xf numFmtId="0" fontId="83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horizontal="center" vertical="center"/>
    </xf>
    <xf numFmtId="3" fontId="8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7" fontId="7" fillId="0" borderId="0" xfId="0" applyNumberFormat="1" applyFont="1" applyFill="1" applyBorder="1" applyAlignment="1">
      <alignment horizontal="right" vertical="center" wrapText="1" indent="1"/>
    </xf>
    <xf numFmtId="3" fontId="7" fillId="0" borderId="0" xfId="0" applyNumberFormat="1" applyFont="1" applyFill="1" applyBorder="1" applyAlignment="1">
      <alignment horizontal="right" vertical="center" wrapText="1" indent="1"/>
    </xf>
    <xf numFmtId="167" fontId="81" fillId="0" borderId="0" xfId="0" applyNumberFormat="1" applyFont="1" applyFill="1" applyBorder="1" applyAlignment="1">
      <alignment horizontal="right" vertical="center" wrapText="1" indent="1"/>
    </xf>
    <xf numFmtId="3" fontId="81" fillId="0" borderId="0" xfId="0" applyNumberFormat="1" applyFont="1" applyFill="1" applyBorder="1" applyAlignment="1">
      <alignment horizontal="right" vertical="center" wrapText="1" indent="1"/>
    </xf>
    <xf numFmtId="3" fontId="7" fillId="0" borderId="3" xfId="0" applyNumberFormat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166" fontId="7" fillId="0" borderId="3" xfId="0" applyNumberFormat="1" applyFont="1" applyFill="1" applyBorder="1" applyAlignment="1">
      <alignment horizontal="center" vertical="center" wrapText="1"/>
    </xf>
    <xf numFmtId="166" fontId="7" fillId="0" borderId="14" xfId="0" applyNumberFormat="1" applyFont="1" applyFill="1" applyBorder="1" applyAlignment="1">
      <alignment horizontal="center" vertical="center" wrapText="1"/>
    </xf>
    <xf numFmtId="166" fontId="81" fillId="0" borderId="14" xfId="0" applyNumberFormat="1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left" vertical="center" wrapText="1"/>
    </xf>
    <xf numFmtId="2" fontId="81" fillId="0" borderId="0" xfId="0" applyNumberFormat="1" applyFont="1" applyFill="1" applyBorder="1" applyAlignment="1">
      <alignment horizontal="center" vertical="center" wrapText="1"/>
    </xf>
    <xf numFmtId="2" fontId="72" fillId="0" borderId="0" xfId="0" applyNumberFormat="1" applyFont="1" applyFill="1" applyBorder="1" applyAlignment="1">
      <alignment horizontal="center" vertical="center" wrapText="1"/>
    </xf>
    <xf numFmtId="166" fontId="81" fillId="0" borderId="0" xfId="0" applyNumberFormat="1" applyFont="1" applyFill="1" applyBorder="1" applyAlignment="1">
      <alignment horizontal="center" vertical="center" wrapText="1"/>
    </xf>
    <xf numFmtId="167" fontId="81" fillId="0" borderId="0" xfId="0" applyNumberFormat="1" applyFont="1" applyFill="1" applyBorder="1" applyAlignment="1">
      <alignment horizontal="center" vertical="center" wrapText="1"/>
    </xf>
    <xf numFmtId="167" fontId="72" fillId="0" borderId="0" xfId="0" applyNumberFormat="1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 shrinkToFit="1"/>
    </xf>
    <xf numFmtId="0" fontId="71" fillId="0" borderId="3" xfId="0" applyFont="1" applyFill="1" applyBorder="1" applyAlignment="1">
      <alignment horizontal="center" vertical="center" wrapText="1" shrinkToFit="1"/>
    </xf>
    <xf numFmtId="2" fontId="7" fillId="0" borderId="14" xfId="0" applyNumberFormat="1" applyFont="1" applyFill="1" applyBorder="1" applyAlignment="1">
      <alignment horizontal="center" vertical="center" wrapText="1" shrinkToFit="1"/>
    </xf>
    <xf numFmtId="166" fontId="81" fillId="0" borderId="0" xfId="0" applyNumberFormat="1" applyFont="1" applyFill="1" applyBorder="1" applyAlignment="1">
      <alignment horizontal="right" vertical="center" wrapText="1"/>
    </xf>
    <xf numFmtId="167" fontId="81" fillId="0" borderId="0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 wrapText="1" shrinkToFit="1"/>
    </xf>
    <xf numFmtId="0" fontId="71" fillId="0" borderId="0" xfId="0" applyFont="1" applyFill="1" applyBorder="1" applyAlignment="1">
      <alignment horizontal="left" vertical="center" wrapText="1" shrinkToFit="1"/>
    </xf>
    <xf numFmtId="2" fontId="7" fillId="0" borderId="0" xfId="0" applyNumberFormat="1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167" fontId="7" fillId="0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left" vertical="center" wrapText="1"/>
    </xf>
    <xf numFmtId="166" fontId="85" fillId="0" borderId="3" xfId="0" applyNumberFormat="1" applyFont="1" applyFill="1" applyBorder="1" applyAlignment="1">
      <alignment horizontal="center" vertical="center" wrapText="1"/>
    </xf>
    <xf numFmtId="0" fontId="85" fillId="0" borderId="3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vertical="center"/>
    </xf>
    <xf numFmtId="0" fontId="81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81" fillId="0" borderId="0" xfId="0" quotePrefix="1" applyFont="1" applyFill="1" applyBorder="1" applyAlignment="1">
      <alignment horizontal="center" vertical="center"/>
    </xf>
    <xf numFmtId="167" fontId="8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67" fontId="81" fillId="0" borderId="3" xfId="0" applyNumberFormat="1" applyFont="1" applyFill="1" applyBorder="1" applyAlignment="1">
      <alignment horizontal="center" vertical="center" wrapText="1"/>
    </xf>
    <xf numFmtId="166" fontId="81" fillId="0" borderId="3" xfId="0" applyNumberFormat="1" applyFont="1" applyFill="1" applyBorder="1" applyAlignment="1">
      <alignment horizontal="center" vertical="center" wrapText="1"/>
    </xf>
    <xf numFmtId="166" fontId="81" fillId="0" borderId="3" xfId="0" applyNumberFormat="1" applyFont="1" applyFill="1" applyBorder="1" applyAlignment="1">
      <alignment horizontal="right" vertical="center" indent="1"/>
    </xf>
    <xf numFmtId="166" fontId="81" fillId="0" borderId="3" xfId="325" applyNumberFormat="1" applyFont="1" applyFill="1" applyBorder="1" applyAlignment="1">
      <alignment horizontal="right" vertical="center" wrapText="1" indent="1"/>
    </xf>
    <xf numFmtId="166" fontId="7" fillId="0" borderId="3" xfId="345" applyNumberFormat="1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right" vertical="center" indent="1"/>
    </xf>
    <xf numFmtId="166" fontId="7" fillId="0" borderId="3" xfId="325" applyNumberFormat="1" applyFont="1" applyFill="1" applyBorder="1" applyAlignment="1">
      <alignment horizontal="right" vertical="center" wrapText="1" indent="1"/>
    </xf>
    <xf numFmtId="166" fontId="81" fillId="0" borderId="3" xfId="0" applyNumberFormat="1" applyFont="1" applyFill="1" applyBorder="1" applyAlignment="1">
      <alignment horizontal="right" vertical="center" wrapText="1" indent="1"/>
    </xf>
    <xf numFmtId="166" fontId="7" fillId="0" borderId="3" xfId="0" applyNumberFormat="1" applyFont="1" applyFill="1" applyBorder="1" applyAlignment="1">
      <alignment horizontal="center" vertical="center"/>
    </xf>
    <xf numFmtId="166" fontId="81" fillId="0" borderId="3" xfId="325" applyNumberFormat="1" applyFont="1" applyFill="1" applyBorder="1" applyAlignment="1">
      <alignment horizontal="center" vertical="center" wrapText="1"/>
    </xf>
    <xf numFmtId="166" fontId="7" fillId="0" borderId="3" xfId="325" applyNumberFormat="1" applyFont="1" applyFill="1" applyBorder="1" applyAlignment="1">
      <alignment horizontal="center" vertical="center" wrapText="1"/>
    </xf>
    <xf numFmtId="166" fontId="81" fillId="0" borderId="3" xfId="345" applyNumberFormat="1" applyFont="1" applyFill="1" applyBorder="1" applyAlignment="1">
      <alignment horizontal="center" vertical="center" wrapText="1"/>
    </xf>
    <xf numFmtId="167" fontId="4" fillId="0" borderId="3" xfId="0" applyNumberFormat="1" applyFont="1" applyFill="1" applyBorder="1" applyAlignment="1">
      <alignment horizontal="right" vertical="center" wrapText="1"/>
    </xf>
    <xf numFmtId="167" fontId="5" fillId="0" borderId="3" xfId="0" applyNumberFormat="1" applyFont="1" applyFill="1" applyBorder="1" applyAlignment="1">
      <alignment horizontal="right" vertical="center" wrapText="1"/>
    </xf>
    <xf numFmtId="166" fontId="5" fillId="0" borderId="3" xfId="0" applyNumberFormat="1" applyFont="1" applyFill="1" applyBorder="1" applyAlignment="1">
      <alignment horizontal="right" vertical="center" wrapText="1"/>
    </xf>
    <xf numFmtId="175" fontId="5" fillId="0" borderId="3" xfId="0" applyNumberFormat="1" applyFont="1" applyFill="1" applyBorder="1" applyAlignment="1">
      <alignment horizontal="right" vertical="center" wrapText="1"/>
    </xf>
    <xf numFmtId="175" fontId="5" fillId="0" borderId="3" xfId="325" applyNumberFormat="1" applyFont="1" applyFill="1" applyBorder="1" applyAlignment="1">
      <alignment horizontal="right" vertical="center" wrapText="1"/>
    </xf>
    <xf numFmtId="175" fontId="4" fillId="0" borderId="3" xfId="0" applyNumberFormat="1" applyFont="1" applyFill="1" applyBorder="1" applyAlignment="1">
      <alignment horizontal="right" vertical="center" wrapText="1"/>
    </xf>
    <xf numFmtId="167" fontId="4" fillId="0" borderId="3" xfId="0" quotePrefix="1" applyNumberFormat="1" applyFont="1" applyFill="1" applyBorder="1" applyAlignment="1">
      <alignment horizontal="right" vertical="center" wrapText="1"/>
    </xf>
    <xf numFmtId="175" fontId="4" fillId="0" borderId="3" xfId="0" quotePrefix="1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167" fontId="5" fillId="0" borderId="3" xfId="0" applyNumberFormat="1" applyFont="1" applyFill="1" applyBorder="1" applyAlignment="1">
      <alignment horizontal="right" vertical="center"/>
    </xf>
    <xf numFmtId="167" fontId="5" fillId="0" borderId="3" xfId="0" quotePrefix="1" applyNumberFormat="1" applyFont="1" applyFill="1" applyBorder="1" applyAlignment="1">
      <alignment horizontal="right" vertical="center" wrapText="1"/>
    </xf>
    <xf numFmtId="175" fontId="5" fillId="0" borderId="3" xfId="0" quotePrefix="1" applyNumberFormat="1" applyFont="1" applyFill="1" applyBorder="1" applyAlignment="1">
      <alignment horizontal="right" vertical="center" wrapText="1"/>
    </xf>
    <xf numFmtId="49" fontId="5" fillId="0" borderId="3" xfId="0" applyNumberFormat="1" applyFont="1" applyFill="1" applyBorder="1" applyAlignment="1">
      <alignment horizontal="right" vertical="center" wrapText="1"/>
    </xf>
    <xf numFmtId="166" fontId="5" fillId="0" borderId="3" xfId="0" applyNumberFormat="1" applyFont="1" applyFill="1" applyBorder="1" applyAlignment="1">
      <alignment horizontal="right" vertical="center"/>
    </xf>
    <xf numFmtId="166" fontId="5" fillId="0" borderId="3" xfId="0" quotePrefix="1" applyNumberFormat="1" applyFont="1" applyFill="1" applyBorder="1" applyAlignment="1">
      <alignment horizontal="right" vertical="center" wrapText="1"/>
    </xf>
    <xf numFmtId="167" fontId="5" fillId="0" borderId="3" xfId="0" applyNumberFormat="1" applyFont="1" applyFill="1" applyBorder="1" applyAlignment="1">
      <alignment vertical="center" wrapText="1"/>
    </xf>
    <xf numFmtId="167" fontId="5" fillId="0" borderId="3" xfId="0" quotePrefix="1" applyNumberFormat="1" applyFont="1" applyFill="1" applyBorder="1" applyAlignment="1">
      <alignment vertical="center" wrapText="1"/>
    </xf>
    <xf numFmtId="167" fontId="4" fillId="0" borderId="3" xfId="0" quotePrefix="1" applyNumberFormat="1" applyFont="1" applyFill="1" applyBorder="1" applyAlignment="1">
      <alignment vertical="center" wrapText="1"/>
    </xf>
    <xf numFmtId="0" fontId="5" fillId="0" borderId="0" xfId="247" applyFont="1" applyFill="1" applyBorder="1" applyAlignment="1">
      <alignment vertical="center"/>
    </xf>
    <xf numFmtId="0" fontId="4" fillId="0" borderId="0" xfId="247" applyFont="1" applyFill="1" applyBorder="1" applyAlignment="1">
      <alignment horizontal="center" vertical="center" wrapText="1"/>
    </xf>
    <xf numFmtId="0" fontId="4" fillId="0" borderId="0" xfId="247" applyFont="1" applyFill="1" applyBorder="1" applyAlignment="1">
      <alignment horizontal="right" vertical="center" wrapText="1"/>
    </xf>
    <xf numFmtId="0" fontId="5" fillId="0" borderId="3" xfId="247" applyFont="1" applyFill="1" applyBorder="1" applyAlignment="1">
      <alignment horizontal="center" vertical="center"/>
    </xf>
    <xf numFmtId="0" fontId="5" fillId="0" borderId="3" xfId="247" applyFont="1" applyFill="1" applyBorder="1" applyAlignment="1">
      <alignment horizontal="center" vertical="center" wrapText="1"/>
    </xf>
    <xf numFmtId="167" fontId="4" fillId="0" borderId="3" xfId="247" applyNumberFormat="1" applyFont="1" applyFill="1" applyBorder="1" applyAlignment="1">
      <alignment horizontal="right" vertical="center" wrapText="1" indent="1"/>
    </xf>
    <xf numFmtId="167" fontId="5" fillId="0" borderId="3" xfId="247" applyNumberFormat="1" applyFont="1" applyFill="1" applyBorder="1" applyAlignment="1">
      <alignment horizontal="right" vertical="center" wrapText="1" indent="1"/>
    </xf>
    <xf numFmtId="4" fontId="5" fillId="0" borderId="3" xfId="247" applyNumberFormat="1" applyFont="1" applyFill="1" applyBorder="1" applyAlignment="1">
      <alignment horizontal="right" vertical="center" wrapText="1" indent="1"/>
    </xf>
    <xf numFmtId="0" fontId="4" fillId="0" borderId="0" xfId="247" applyFont="1" applyFill="1" applyBorder="1" applyAlignment="1">
      <alignment vertical="center"/>
    </xf>
    <xf numFmtId="0" fontId="4" fillId="0" borderId="3" xfId="247" applyFont="1" applyFill="1" applyBorder="1" applyAlignment="1">
      <alignment horizontal="left" vertical="center" wrapText="1"/>
    </xf>
    <xf numFmtId="0" fontId="4" fillId="0" borderId="3" xfId="247" applyFont="1" applyFill="1" applyBorder="1" applyAlignment="1">
      <alignment horizontal="center" vertical="center" wrapText="1"/>
    </xf>
    <xf numFmtId="0" fontId="4" fillId="0" borderId="0" xfId="247" applyFont="1" applyFill="1" applyBorder="1" applyAlignment="1">
      <alignment horizontal="center" vertical="center"/>
    </xf>
    <xf numFmtId="0" fontId="6" fillId="0" borderId="3" xfId="247" applyFont="1" applyFill="1" applyBorder="1" applyAlignment="1">
      <alignment horizontal="right" vertical="center" wrapText="1"/>
    </xf>
    <xf numFmtId="0" fontId="5" fillId="0" borderId="0" xfId="247" applyFont="1" applyFill="1" applyBorder="1" applyAlignment="1">
      <alignment horizontal="left" vertical="center" wrapText="1"/>
    </xf>
    <xf numFmtId="0" fontId="5" fillId="0" borderId="0" xfId="247" applyFont="1" applyFill="1" applyBorder="1" applyAlignment="1">
      <alignment horizontal="center" vertical="center"/>
    </xf>
    <xf numFmtId="167" fontId="5" fillId="0" borderId="0" xfId="247" applyNumberFormat="1" applyFont="1" applyFill="1" applyBorder="1" applyAlignment="1">
      <alignment horizontal="center" vertical="center" wrapText="1"/>
    </xf>
    <xf numFmtId="167" fontId="5" fillId="0" borderId="0" xfId="247" applyNumberFormat="1" applyFont="1" applyFill="1" applyBorder="1" applyAlignment="1">
      <alignment horizontal="right" vertical="center" wrapText="1"/>
    </xf>
    <xf numFmtId="0" fontId="5" fillId="0" borderId="0" xfId="247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11" fillId="0" borderId="0" xfId="247" applyFont="1" applyFill="1"/>
    <xf numFmtId="167" fontId="4" fillId="0" borderId="3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 wrapText="1"/>
    </xf>
    <xf numFmtId="14" fontId="5" fillId="0" borderId="3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175" fontId="4" fillId="0" borderId="3" xfId="325" applyNumberFormat="1" applyFont="1" applyFill="1" applyBorder="1" applyAlignment="1">
      <alignment horizontal="right" vertical="center" wrapText="1"/>
    </xf>
    <xf numFmtId="166" fontId="4" fillId="0" borderId="3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 shrinkToFit="1"/>
    </xf>
    <xf numFmtId="0" fontId="4" fillId="0" borderId="17" xfId="0" applyFont="1" applyFill="1" applyBorder="1" applyAlignment="1">
      <alignment horizontal="center" vertical="center"/>
    </xf>
    <xf numFmtId="166" fontId="4" fillId="0" borderId="3" xfId="0" quotePrefix="1" applyNumberFormat="1" applyFont="1" applyFill="1" applyBorder="1" applyAlignment="1">
      <alignment horizontal="right" vertical="center" wrapText="1"/>
    </xf>
    <xf numFmtId="167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horizontal="center" vertical="center" wrapText="1"/>
    </xf>
    <xf numFmtId="167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7" fontId="5" fillId="29" borderId="3" xfId="0" applyNumberFormat="1" applyFont="1" applyFill="1" applyBorder="1" applyAlignment="1">
      <alignment horizontal="right" vertical="center" wrapText="1"/>
    </xf>
    <xf numFmtId="0" fontId="0" fillId="29" borderId="0" xfId="0" applyFill="1"/>
    <xf numFmtId="0" fontId="4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67" fontId="5" fillId="0" borderId="0" xfId="0" quotePrefix="1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67" fontId="4" fillId="0" borderId="0" xfId="0" applyNumberFormat="1" applyFont="1" applyFill="1" applyBorder="1" applyAlignment="1">
      <alignment horizontal="center" vertical="center" wrapText="1"/>
    </xf>
    <xf numFmtId="167" fontId="4" fillId="0" borderId="0" xfId="0" quotePrefix="1" applyNumberFormat="1" applyFont="1" applyFill="1" applyBorder="1" applyAlignment="1">
      <alignment horizontal="center" vertical="center" wrapText="1"/>
    </xf>
    <xf numFmtId="0" fontId="4" fillId="0" borderId="3" xfId="247" applyFont="1" applyFill="1" applyBorder="1" applyAlignment="1">
      <alignment horizontal="left" vertical="center" wrapText="1"/>
    </xf>
    <xf numFmtId="0" fontId="4" fillId="0" borderId="0" xfId="247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horizontal="center" vertical="center" wrapText="1"/>
    </xf>
    <xf numFmtId="0" fontId="71" fillId="0" borderId="23" xfId="0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center" vertical="center" wrapText="1"/>
    </xf>
    <xf numFmtId="0" fontId="71" fillId="0" borderId="24" xfId="0" applyFont="1" applyFill="1" applyBorder="1" applyAlignment="1">
      <alignment horizontal="center" vertical="center" wrapText="1"/>
    </xf>
    <xf numFmtId="0" fontId="71" fillId="0" borderId="25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71" fillId="0" borderId="16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/>
    </xf>
    <xf numFmtId="0" fontId="71" fillId="0" borderId="26" xfId="0" applyFont="1" applyFill="1" applyBorder="1" applyAlignment="1">
      <alignment horizontal="center" vertical="center" wrapText="1"/>
    </xf>
    <xf numFmtId="167" fontId="7" fillId="0" borderId="3" xfId="0" applyNumberFormat="1" applyFont="1" applyFill="1" applyBorder="1" applyAlignment="1">
      <alignment horizontal="center" vertical="center" wrapText="1"/>
    </xf>
    <xf numFmtId="167" fontId="7" fillId="0" borderId="20" xfId="0" applyNumberFormat="1" applyFont="1" applyFill="1" applyBorder="1" applyAlignment="1">
      <alignment horizontal="center" vertical="center" wrapText="1"/>
    </xf>
    <xf numFmtId="167" fontId="71" fillId="0" borderId="14" xfId="0" applyNumberFormat="1" applyFont="1" applyFill="1" applyBorder="1" applyAlignment="1">
      <alignment horizontal="center" vertical="center" wrapText="1"/>
    </xf>
    <xf numFmtId="167" fontId="81" fillId="0" borderId="0" xfId="0" applyNumberFormat="1" applyFont="1" applyFill="1" applyBorder="1" applyAlignment="1">
      <alignment horizontal="center" vertical="center" wrapText="1"/>
    </xf>
    <xf numFmtId="167" fontId="81" fillId="0" borderId="0" xfId="0" quotePrefix="1" applyNumberFormat="1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71" fillId="0" borderId="14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167" fontId="7" fillId="0" borderId="0" xfId="0" quotePrefix="1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0" fontId="81" fillId="0" borderId="0" xfId="0" applyFont="1" applyFill="1" applyAlignment="1">
      <alignment horizontal="center" vertical="center"/>
    </xf>
    <xf numFmtId="3" fontId="7" fillId="0" borderId="20" xfId="0" applyNumberFormat="1" applyFont="1" applyFill="1" applyBorder="1" applyAlignment="1">
      <alignment horizontal="left" vertical="center" wrapText="1"/>
    </xf>
    <xf numFmtId="0" fontId="71" fillId="0" borderId="1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 wrapText="1" shrinkToFit="1"/>
    </xf>
    <xf numFmtId="0" fontId="7" fillId="0" borderId="17" xfId="0" applyFont="1" applyFill="1" applyBorder="1" applyAlignment="1">
      <alignment horizontal="center" vertical="center" wrapText="1" shrinkToFit="1"/>
    </xf>
    <xf numFmtId="0" fontId="7" fillId="0" borderId="26" xfId="0" applyFont="1" applyFill="1" applyBorder="1" applyAlignment="1">
      <alignment horizontal="center" vertical="center" wrapText="1" shrinkToFit="1"/>
    </xf>
    <xf numFmtId="0" fontId="7" fillId="0" borderId="20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center" vertical="center" wrapText="1" shrinkToFit="1"/>
    </xf>
    <xf numFmtId="0" fontId="71" fillId="0" borderId="14" xfId="0" applyFont="1" applyFill="1" applyBorder="1" applyAlignment="1">
      <alignment horizontal="center" vertical="center" wrapText="1" shrinkToFit="1"/>
    </xf>
    <xf numFmtId="0" fontId="7" fillId="0" borderId="22" xfId="0" applyFont="1" applyFill="1" applyBorder="1" applyAlignment="1">
      <alignment horizontal="center" vertical="center" wrapText="1" shrinkToFit="1"/>
    </xf>
    <xf numFmtId="0" fontId="7" fillId="0" borderId="21" xfId="0" applyFont="1" applyFill="1" applyBorder="1" applyAlignment="1">
      <alignment horizontal="center" vertical="center" wrapText="1" shrinkToFit="1"/>
    </xf>
    <xf numFmtId="0" fontId="71" fillId="0" borderId="23" xfId="0" applyFont="1" applyFill="1" applyBorder="1" applyAlignment="1">
      <alignment horizontal="center" vertical="center" wrapText="1" shrinkToFit="1"/>
    </xf>
    <xf numFmtId="0" fontId="7" fillId="0" borderId="18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1" fillId="0" borderId="24" xfId="0" applyFont="1" applyFill="1" applyBorder="1" applyAlignment="1">
      <alignment horizontal="center" vertical="center" wrapText="1" shrinkToFit="1"/>
    </xf>
    <xf numFmtId="0" fontId="7" fillId="0" borderId="25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wrapText="1" shrinkToFit="1"/>
    </xf>
    <xf numFmtId="0" fontId="71" fillId="0" borderId="16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right" vertical="center"/>
    </xf>
    <xf numFmtId="0" fontId="71" fillId="0" borderId="15" xfId="0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horizontal="center" vertical="center"/>
    </xf>
    <xf numFmtId="167" fontId="7" fillId="0" borderId="15" xfId="0" applyNumberFormat="1" applyFont="1" applyFill="1" applyBorder="1" applyAlignment="1">
      <alignment horizontal="center" vertical="center" wrapText="1"/>
    </xf>
    <xf numFmtId="167" fontId="81" fillId="0" borderId="20" xfId="0" applyNumberFormat="1" applyFont="1" applyFill="1" applyBorder="1" applyAlignment="1">
      <alignment horizontal="center" vertical="center" wrapText="1"/>
    </xf>
    <xf numFmtId="167" fontId="81" fillId="0" borderId="15" xfId="0" applyNumberFormat="1" applyFont="1" applyFill="1" applyBorder="1" applyAlignment="1">
      <alignment horizontal="center" vertical="center" wrapText="1"/>
    </xf>
    <xf numFmtId="167" fontId="72" fillId="0" borderId="14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3" fontId="7" fillId="0" borderId="15" xfId="0" applyNumberFormat="1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6" fillId="0" borderId="20" xfId="0" applyFont="1" applyFill="1" applyBorder="1" applyAlignment="1">
      <alignment horizontal="left" vertical="center" wrapText="1"/>
    </xf>
    <xf numFmtId="0" fontId="86" fillId="0" borderId="15" xfId="0" applyFont="1" applyFill="1" applyBorder="1" applyAlignment="1">
      <alignment horizontal="left" vertical="center" wrapText="1"/>
    </xf>
    <xf numFmtId="0" fontId="86" fillId="0" borderId="14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vertical="center"/>
    </xf>
    <xf numFmtId="0" fontId="71" fillId="0" borderId="21" xfId="0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 shrinkToFit="1"/>
    </xf>
    <xf numFmtId="0" fontId="7" fillId="0" borderId="15" xfId="0" applyFont="1" applyFill="1" applyBorder="1" applyAlignment="1">
      <alignment horizontal="left" vertical="center" wrapText="1" shrinkToFit="1"/>
    </xf>
    <xf numFmtId="0" fontId="71" fillId="0" borderId="14" xfId="0" applyFont="1" applyFill="1" applyBorder="1" applyAlignment="1">
      <alignment horizontal="left" vertical="center" wrapText="1" shrinkToFit="1"/>
    </xf>
    <xf numFmtId="2" fontId="81" fillId="0" borderId="20" xfId="0" applyNumberFormat="1" applyFont="1" applyFill="1" applyBorder="1" applyAlignment="1">
      <alignment horizontal="center" vertical="center" wrapText="1"/>
    </xf>
    <xf numFmtId="2" fontId="81" fillId="0" borderId="15" xfId="0" applyNumberFormat="1" applyFont="1" applyFill="1" applyBorder="1" applyAlignment="1">
      <alignment horizontal="center" vertical="center" wrapText="1"/>
    </xf>
    <xf numFmtId="2" fontId="72" fillId="0" borderId="14" xfId="0" applyNumberFormat="1" applyFont="1" applyFill="1" applyBorder="1" applyAlignment="1">
      <alignment horizontal="center" vertical="center" wrapText="1"/>
    </xf>
    <xf numFmtId="0" fontId="72" fillId="0" borderId="3" xfId="0" applyFont="1" applyBorder="1" applyAlignment="1">
      <alignment horizontal="center" wrapText="1"/>
    </xf>
    <xf numFmtId="0" fontId="72" fillId="0" borderId="0" xfId="0" applyFont="1" applyAlignment="1">
      <alignment horizontal="center" vertical="center"/>
    </xf>
    <xf numFmtId="0" fontId="72" fillId="0" borderId="0" xfId="0" applyFont="1" applyAlignment="1">
      <alignment horizontal="center"/>
    </xf>
  </cellXfs>
  <cellStyles count="356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Денежный 3" xfId="212"/>
    <cellStyle name="Заголовок 1 2" xfId="213"/>
    <cellStyle name="Заголовок 1 3" xfId="214"/>
    <cellStyle name="Заголовок 2 2" xfId="215"/>
    <cellStyle name="Заголовок 2 3" xfId="216"/>
    <cellStyle name="Заголовок 3 2" xfId="217"/>
    <cellStyle name="Заголовок 3 3" xfId="218"/>
    <cellStyle name="Заголовок 4 2" xfId="219"/>
    <cellStyle name="Заголовок 4 3" xfId="220"/>
    <cellStyle name="Итог 2" xfId="221"/>
    <cellStyle name="Итог 3" xfId="222"/>
    <cellStyle name="Контрольная ячейка 2" xfId="223"/>
    <cellStyle name="Контрольная ячейка 3" xfId="224"/>
    <cellStyle name="Название 2" xfId="225"/>
    <cellStyle name="Название 3" xfId="226"/>
    <cellStyle name="Нейтральный 2" xfId="227"/>
    <cellStyle name="Нейтральный 3" xfId="228"/>
    <cellStyle name="Обычный" xfId="0" builtinId="0"/>
    <cellStyle name="Обычный 10" xfId="229"/>
    <cellStyle name="Обычный 11" xfId="230"/>
    <cellStyle name="Обычный 12" xfId="231"/>
    <cellStyle name="Обычный 13" xfId="232"/>
    <cellStyle name="Обычный 14" xfId="233"/>
    <cellStyle name="Обычный 15" xfId="234"/>
    <cellStyle name="Обычный 16" xfId="235"/>
    <cellStyle name="Обычный 17" xfId="236"/>
    <cellStyle name="Обычный 18" xfId="237"/>
    <cellStyle name="Обычный 19" xfId="238"/>
    <cellStyle name="Обычный 2" xfId="239"/>
    <cellStyle name="Обычный 2 10" xfId="240"/>
    <cellStyle name="Обычный 2 11" xfId="241"/>
    <cellStyle name="Обычный 2 12" xfId="242"/>
    <cellStyle name="Обычный 2 13" xfId="243"/>
    <cellStyle name="Обычный 2 14" xfId="244"/>
    <cellStyle name="Обычный 2 15" xfId="245"/>
    <cellStyle name="Обычный 2 16" xfId="246"/>
    <cellStyle name="Обычный 2 2" xfId="247"/>
    <cellStyle name="Обычный 2 2 2" xfId="248"/>
    <cellStyle name="Обычный 2 2 3" xfId="249"/>
    <cellStyle name="Обычный 2 2_Расшифровка прочих" xfId="250"/>
    <cellStyle name="Обычный 2 3" xfId="251"/>
    <cellStyle name="Обычный 2 4" xfId="252"/>
    <cellStyle name="Обычный 2 5" xfId="253"/>
    <cellStyle name="Обычный 2 6" xfId="254"/>
    <cellStyle name="Обычный 2 7" xfId="255"/>
    <cellStyle name="Обычный 2 8" xfId="256"/>
    <cellStyle name="Обычный 2 9" xfId="257"/>
    <cellStyle name="Обычный 2_2604-2010" xfId="258"/>
    <cellStyle name="Обычный 3" xfId="259"/>
    <cellStyle name="Обычный 3 10" xfId="260"/>
    <cellStyle name="Обычный 3 11" xfId="261"/>
    <cellStyle name="Обычный 3 12" xfId="262"/>
    <cellStyle name="Обычный 3 13" xfId="263"/>
    <cellStyle name="Обычный 3 14" xfId="264"/>
    <cellStyle name="Обычный 3 2" xfId="265"/>
    <cellStyle name="Обычный 3 3" xfId="266"/>
    <cellStyle name="Обычный 3 4" xfId="267"/>
    <cellStyle name="Обычный 3 5" xfId="268"/>
    <cellStyle name="Обычный 3 6" xfId="269"/>
    <cellStyle name="Обычный 3 7" xfId="270"/>
    <cellStyle name="Обычный 3 8" xfId="271"/>
    <cellStyle name="Обычный 3 9" xfId="272"/>
    <cellStyle name="Обычный 3_Дефицит_7 млрд_0608_бс" xfId="273"/>
    <cellStyle name="Обычный 4" xfId="274"/>
    <cellStyle name="Обычный 5" xfId="275"/>
    <cellStyle name="Обычный 5 2" xfId="276"/>
    <cellStyle name="Обычный 6" xfId="277"/>
    <cellStyle name="Обычный 6 2" xfId="278"/>
    <cellStyle name="Обычный 6 3" xfId="279"/>
    <cellStyle name="Обычный 6 4" xfId="280"/>
    <cellStyle name="Обычный 6_Дефицит_7 млрд_0608_бс" xfId="281"/>
    <cellStyle name="Обычный 7" xfId="282"/>
    <cellStyle name="Обычный 7 2" xfId="283"/>
    <cellStyle name="Обычный 8" xfId="284"/>
    <cellStyle name="Обычный 9" xfId="285"/>
    <cellStyle name="Обычный 9 2" xfId="286"/>
    <cellStyle name="Плохой 2" xfId="287"/>
    <cellStyle name="Плохой 3" xfId="288"/>
    <cellStyle name="Пояснение 2" xfId="289"/>
    <cellStyle name="Пояснение 3" xfId="290"/>
    <cellStyle name="Примечание 2" xfId="291"/>
    <cellStyle name="Примечание 3" xfId="292"/>
    <cellStyle name="Процентный 2" xfId="293"/>
    <cellStyle name="Процентный 2 10" xfId="294"/>
    <cellStyle name="Процентный 2 11" xfId="295"/>
    <cellStyle name="Процентный 2 12" xfId="296"/>
    <cellStyle name="Процентный 2 13" xfId="297"/>
    <cellStyle name="Процентный 2 14" xfId="298"/>
    <cellStyle name="Процентный 2 15" xfId="299"/>
    <cellStyle name="Процентный 2 16" xfId="300"/>
    <cellStyle name="Процентный 2 2" xfId="301"/>
    <cellStyle name="Процентный 2 3" xfId="302"/>
    <cellStyle name="Процентный 2 4" xfId="303"/>
    <cellStyle name="Процентный 2 5" xfId="304"/>
    <cellStyle name="Процентный 2 6" xfId="305"/>
    <cellStyle name="Процентный 2 7" xfId="306"/>
    <cellStyle name="Процентный 2 8" xfId="307"/>
    <cellStyle name="Процентный 2 9" xfId="308"/>
    <cellStyle name="Процентный 3" xfId="309"/>
    <cellStyle name="Процентный 4" xfId="310"/>
    <cellStyle name="Процентный 4 2" xfId="311"/>
    <cellStyle name="Связанная ячейка 2" xfId="312"/>
    <cellStyle name="Связанная ячейка 3" xfId="313"/>
    <cellStyle name="Стиль 1" xfId="314"/>
    <cellStyle name="Стиль 1 2" xfId="315"/>
    <cellStyle name="Стиль 1 3" xfId="316"/>
    <cellStyle name="Стиль 1 4" xfId="317"/>
    <cellStyle name="Стиль 1 5" xfId="318"/>
    <cellStyle name="Стиль 1 6" xfId="319"/>
    <cellStyle name="Стиль 1 7" xfId="320"/>
    <cellStyle name="Текст предупреждения 2" xfId="321"/>
    <cellStyle name="Текст предупреждения 3" xfId="322"/>
    <cellStyle name="Тысячи [0]_1.62" xfId="323"/>
    <cellStyle name="Тысячи_1.62" xfId="324"/>
    <cellStyle name="Финансовый" xfId="325" builtinId="3"/>
    <cellStyle name="Финансовый 2" xfId="326"/>
    <cellStyle name="Финансовый 2 10" xfId="327"/>
    <cellStyle name="Финансовый 2 11" xfId="328"/>
    <cellStyle name="Финансовый 2 12" xfId="329"/>
    <cellStyle name="Финансовый 2 13" xfId="330"/>
    <cellStyle name="Финансовый 2 14" xfId="331"/>
    <cellStyle name="Финансовый 2 15" xfId="332"/>
    <cellStyle name="Финансовый 2 16" xfId="333"/>
    <cellStyle name="Финансовый 2 17" xfId="334"/>
    <cellStyle name="Финансовый 2 2" xfId="335"/>
    <cellStyle name="Финансовый 2 3" xfId="336"/>
    <cellStyle name="Финансовый 2 4" xfId="337"/>
    <cellStyle name="Финансовый 2 5" xfId="338"/>
    <cellStyle name="Финансовый 2 6" xfId="339"/>
    <cellStyle name="Финансовый 2 7" xfId="340"/>
    <cellStyle name="Финансовый 2 8" xfId="341"/>
    <cellStyle name="Финансовый 2 9" xfId="342"/>
    <cellStyle name="Финансовый 3" xfId="343"/>
    <cellStyle name="Финансовый 3 2" xfId="344"/>
    <cellStyle name="Финансовый 4" xfId="345"/>
    <cellStyle name="Финансовый 4 2" xfId="346"/>
    <cellStyle name="Финансовый 4 3" xfId="347"/>
    <cellStyle name="Финансовый 5" xfId="348"/>
    <cellStyle name="Финансовый 6" xfId="349"/>
    <cellStyle name="Финансовый 7" xfId="350"/>
    <cellStyle name="Хороший 2" xfId="351"/>
    <cellStyle name="Хороший 3" xfId="352"/>
    <cellStyle name="числовой" xfId="353"/>
    <cellStyle name="Ю" xfId="354"/>
    <cellStyle name="Ю-FreeSet_10" xfId="3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222"/>
  <sheetViews>
    <sheetView view="pageBreakPreview" zoomScale="60" zoomScaleNormal="60" zoomScalePageLayoutView="70" workbookViewId="0">
      <selection activeCell="A11" sqref="A11:J11"/>
    </sheetView>
  </sheetViews>
  <sheetFormatPr defaultRowHeight="18.75"/>
  <cols>
    <col min="1" max="1" width="61.42578125" style="65" customWidth="1"/>
    <col min="2" max="2" width="9.7109375" style="12" customWidth="1"/>
    <col min="3" max="4" width="14.7109375" style="12" customWidth="1"/>
    <col min="5" max="5" width="16.28515625" style="12" customWidth="1"/>
    <col min="6" max="6" width="14.42578125" style="65" customWidth="1"/>
    <col min="7" max="10" width="13.42578125" style="65" customWidth="1"/>
    <col min="11" max="11" width="10" style="65" customWidth="1"/>
    <col min="12" max="12" width="9.5703125" style="65" customWidth="1"/>
    <col min="13" max="14" width="9.140625" style="65"/>
    <col min="15" max="15" width="10.5703125" style="65" customWidth="1"/>
    <col min="16" max="16384" width="9.140625" style="65"/>
  </cols>
  <sheetData>
    <row r="1" spans="1:10" ht="20.100000000000001" customHeight="1">
      <c r="B1" s="65"/>
      <c r="C1" s="65"/>
      <c r="D1" s="65"/>
      <c r="E1" s="65"/>
      <c r="G1" s="267" t="s">
        <v>513</v>
      </c>
      <c r="H1" s="267"/>
      <c r="I1" s="267"/>
      <c r="J1" s="267"/>
    </row>
    <row r="2" spans="1:10" ht="20.100000000000001" customHeight="1">
      <c r="B2" s="65"/>
      <c r="C2" s="65"/>
      <c r="D2" s="65"/>
      <c r="E2" s="65"/>
      <c r="G2" s="267" t="s">
        <v>514</v>
      </c>
      <c r="H2" s="267"/>
      <c r="I2" s="267"/>
      <c r="J2" s="267"/>
    </row>
    <row r="3" spans="1:10" ht="20.100000000000001" customHeight="1">
      <c r="B3" s="65"/>
      <c r="C3" s="65"/>
      <c r="D3" s="65"/>
      <c r="E3" s="65"/>
      <c r="G3" s="267" t="s">
        <v>515</v>
      </c>
      <c r="H3" s="267"/>
      <c r="I3" s="267"/>
      <c r="J3" s="267"/>
    </row>
    <row r="4" spans="1:10" ht="20.100000000000001" customHeight="1">
      <c r="B4" s="65"/>
      <c r="C4" s="65"/>
      <c r="D4" s="65"/>
      <c r="E4" s="65"/>
      <c r="G4" s="267" t="s">
        <v>516</v>
      </c>
      <c r="H4" s="267"/>
      <c r="I4" s="267"/>
      <c r="J4" s="267"/>
    </row>
    <row r="5" spans="1:10" ht="19.5" customHeight="1">
      <c r="A5" s="23"/>
      <c r="B5" s="65"/>
      <c r="G5" s="267" t="s">
        <v>517</v>
      </c>
      <c r="H5" s="267"/>
      <c r="I5" s="267"/>
      <c r="J5" s="267"/>
    </row>
    <row r="6" spans="1:10" ht="19.5" customHeight="1">
      <c r="A6" s="23"/>
      <c r="B6" s="65"/>
    </row>
    <row r="7" spans="1:10" ht="20.25">
      <c r="A7" s="266" t="s">
        <v>259</v>
      </c>
      <c r="B7" s="266"/>
      <c r="C7" s="266"/>
      <c r="D7" s="266"/>
      <c r="E7" s="266"/>
      <c r="F7" s="266"/>
      <c r="G7" s="266"/>
      <c r="H7" s="266"/>
      <c r="I7" s="266"/>
      <c r="J7" s="266"/>
    </row>
    <row r="8" spans="1:10">
      <c r="A8" s="265" t="s">
        <v>657</v>
      </c>
      <c r="B8" s="265"/>
      <c r="C8" s="265"/>
      <c r="D8" s="265"/>
      <c r="E8" s="265"/>
      <c r="F8" s="265"/>
      <c r="G8" s="265"/>
      <c r="H8" s="265"/>
      <c r="I8" s="265"/>
      <c r="J8" s="265"/>
    </row>
    <row r="9" spans="1:10">
      <c r="A9" s="265" t="s">
        <v>654</v>
      </c>
      <c r="B9" s="265"/>
      <c r="C9" s="265"/>
      <c r="D9" s="265"/>
      <c r="E9" s="265"/>
      <c r="F9" s="265"/>
      <c r="G9" s="265"/>
      <c r="H9" s="265"/>
      <c r="I9" s="265"/>
      <c r="J9" s="265"/>
    </row>
    <row r="10" spans="1:10" ht="14.25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21.75" customHeight="1">
      <c r="A11" s="265" t="s">
        <v>155</v>
      </c>
      <c r="B11" s="265"/>
      <c r="C11" s="265"/>
      <c r="D11" s="265"/>
      <c r="E11" s="265"/>
      <c r="F11" s="265"/>
      <c r="G11" s="265"/>
      <c r="H11" s="265"/>
      <c r="I11" s="265"/>
      <c r="J11" s="265"/>
    </row>
    <row r="12" spans="1:10">
      <c r="B12" s="14"/>
      <c r="C12" s="3"/>
      <c r="D12" s="3"/>
      <c r="E12" s="3"/>
      <c r="F12" s="14"/>
      <c r="G12" s="14"/>
      <c r="H12" s="14"/>
      <c r="I12" s="14"/>
      <c r="J12" s="67" t="s">
        <v>507</v>
      </c>
    </row>
    <row r="13" spans="1:10" ht="31.5" customHeight="1">
      <c r="A13" s="269" t="s">
        <v>182</v>
      </c>
      <c r="B13" s="270" t="s">
        <v>5</v>
      </c>
      <c r="C13" s="271" t="s">
        <v>580</v>
      </c>
      <c r="D13" s="271" t="s">
        <v>598</v>
      </c>
      <c r="E13" s="271" t="s">
        <v>656</v>
      </c>
      <c r="F13" s="271" t="s">
        <v>599</v>
      </c>
      <c r="G13" s="270" t="s">
        <v>256</v>
      </c>
      <c r="H13" s="270"/>
      <c r="I13" s="270"/>
      <c r="J13" s="270"/>
    </row>
    <row r="14" spans="1:10" ht="34.5" customHeight="1">
      <c r="A14" s="269"/>
      <c r="B14" s="270"/>
      <c r="C14" s="272" t="s">
        <v>396</v>
      </c>
      <c r="D14" s="272"/>
      <c r="E14" s="272" t="s">
        <v>395</v>
      </c>
      <c r="F14" s="272" t="s">
        <v>394</v>
      </c>
      <c r="G14" s="71" t="s">
        <v>140</v>
      </c>
      <c r="H14" s="71" t="s">
        <v>141</v>
      </c>
      <c r="I14" s="71" t="s">
        <v>142</v>
      </c>
      <c r="J14" s="71" t="s">
        <v>54</v>
      </c>
    </row>
    <row r="15" spans="1:10" ht="20.100000000000001" customHeight="1">
      <c r="A15" s="78">
        <v>1</v>
      </c>
      <c r="B15" s="79">
        <v>2</v>
      </c>
      <c r="C15" s="79">
        <v>3</v>
      </c>
      <c r="D15" s="79">
        <v>4</v>
      </c>
      <c r="E15" s="79">
        <v>5</v>
      </c>
      <c r="F15" s="79">
        <v>6</v>
      </c>
      <c r="G15" s="79">
        <v>7</v>
      </c>
      <c r="H15" s="79">
        <v>8</v>
      </c>
      <c r="I15" s="79">
        <v>9</v>
      </c>
      <c r="J15" s="79">
        <v>10</v>
      </c>
    </row>
    <row r="16" spans="1:10" ht="24.95" customHeight="1">
      <c r="A16" s="279" t="s">
        <v>76</v>
      </c>
      <c r="B16" s="279"/>
      <c r="C16" s="279"/>
      <c r="D16" s="279"/>
      <c r="E16" s="279"/>
      <c r="F16" s="279"/>
      <c r="G16" s="279"/>
      <c r="H16" s="279"/>
      <c r="I16" s="279"/>
      <c r="J16" s="279"/>
    </row>
    <row r="17" spans="1:10" ht="37.5">
      <c r="A17" s="27" t="s">
        <v>156</v>
      </c>
      <c r="B17" s="78">
        <f>'1.Фінансовий результат'!B14</f>
        <v>1040</v>
      </c>
      <c r="C17" s="62">
        <f>'1.Фінансовий результат'!C14</f>
        <v>26114</v>
      </c>
      <c r="D17" s="62">
        <f>'1.Фінансовий результат'!D14</f>
        <v>29445.8</v>
      </c>
      <c r="E17" s="62">
        <f>'1.Фінансовий результат'!E14</f>
        <v>31484</v>
      </c>
      <c r="F17" s="62">
        <f>'1.Фінансовий результат'!F14</f>
        <v>34286</v>
      </c>
      <c r="G17" s="62">
        <f>'1.Фінансовий результат'!G14</f>
        <v>8571.5</v>
      </c>
      <c r="H17" s="62">
        <f>'1.Фінансовий результат'!H14</f>
        <v>8571.5</v>
      </c>
      <c r="I17" s="62">
        <f>'1.Фінансовий результат'!I14</f>
        <v>8571.5</v>
      </c>
      <c r="J17" s="62">
        <f>'1.Фінансовий результат'!J14</f>
        <v>8571.5</v>
      </c>
    </row>
    <row r="18" spans="1:10" ht="37.5">
      <c r="A18" s="27" t="s">
        <v>128</v>
      </c>
      <c r="B18" s="78">
        <f>'1.Фінансовий результат'!B19</f>
        <v>1050</v>
      </c>
      <c r="C18" s="62">
        <f>'1.Фінансовий результат'!C19</f>
        <v>23745</v>
      </c>
      <c r="D18" s="62">
        <f>'1.Фінансовий результат'!D19</f>
        <v>26800</v>
      </c>
      <c r="E18" s="62">
        <f>'1.Фінансовий результат'!E19</f>
        <v>28486</v>
      </c>
      <c r="F18" s="62">
        <f>'1.Фінансовий результат'!F19</f>
        <v>30617.600000000002</v>
      </c>
      <c r="G18" s="62">
        <f>'1.Фінансовий результат'!G19</f>
        <v>7654.4000000000005</v>
      </c>
      <c r="H18" s="62">
        <f>'1.Фінансовий результат'!H19</f>
        <v>7654.4000000000005</v>
      </c>
      <c r="I18" s="62">
        <f>'1.Фінансовий результат'!I19</f>
        <v>7654.4000000000005</v>
      </c>
      <c r="J18" s="62">
        <f>'1.Фінансовий результат'!J19</f>
        <v>7654.4000000000005</v>
      </c>
    </row>
    <row r="19" spans="1:10" ht="37.5" customHeight="1">
      <c r="A19" s="28" t="s">
        <v>192</v>
      </c>
      <c r="B19" s="80">
        <f>'1.Фінансовий результат'!B48</f>
        <v>1060</v>
      </c>
      <c r="C19" s="61">
        <f>'1.Фінансовий результат'!C48</f>
        <v>2369</v>
      </c>
      <c r="D19" s="61">
        <f>'1.Фінансовий результат'!D48</f>
        <v>2645.7999999999993</v>
      </c>
      <c r="E19" s="61">
        <f>'1.Фінансовий результат'!E48</f>
        <v>2998</v>
      </c>
      <c r="F19" s="61">
        <f>'1.Фінансовий результат'!F48</f>
        <v>3668.3999999999978</v>
      </c>
      <c r="G19" s="61">
        <f>'1.Фінансовий результат'!G48</f>
        <v>917.09999999999945</v>
      </c>
      <c r="H19" s="61">
        <f>'1.Фінансовий результат'!H48</f>
        <v>917.09999999999945</v>
      </c>
      <c r="I19" s="61">
        <f>'1.Фінансовий результат'!I48</f>
        <v>917.09999999999945</v>
      </c>
      <c r="J19" s="61">
        <f>'1.Фінансовий результат'!J48</f>
        <v>917.09999999999945</v>
      </c>
    </row>
    <row r="20" spans="1:10" ht="20.100000000000001" customHeight="1">
      <c r="A20" s="27" t="s">
        <v>229</v>
      </c>
      <c r="B20" s="78">
        <f>'1.Фінансовий результат'!B49</f>
        <v>1070</v>
      </c>
      <c r="C20" s="62">
        <f>'1.Фінансовий результат'!C49</f>
        <v>991</v>
      </c>
      <c r="D20" s="62">
        <f>'1.Фінансовий результат'!D49</f>
        <v>680</v>
      </c>
      <c r="E20" s="62">
        <f>'1.Фінансовий результат'!E49</f>
        <v>991</v>
      </c>
      <c r="F20" s="62">
        <f>'1.Фінансовий результат'!F49</f>
        <v>1040</v>
      </c>
      <c r="G20" s="62">
        <f>'1.Фінансовий результат'!G49</f>
        <v>260</v>
      </c>
      <c r="H20" s="62">
        <f>'1.Фінансовий результат'!H49</f>
        <v>260</v>
      </c>
      <c r="I20" s="62">
        <f>'1.Фінансовий результат'!I49</f>
        <v>260</v>
      </c>
      <c r="J20" s="62">
        <f>'1.Фінансовий результат'!J49</f>
        <v>260</v>
      </c>
    </row>
    <row r="21" spans="1:10" ht="20.100000000000001" customHeight="1">
      <c r="A21" s="27" t="s">
        <v>105</v>
      </c>
      <c r="B21" s="78">
        <f>'1.Фінансовий результат'!B51</f>
        <v>1080</v>
      </c>
      <c r="C21" s="62">
        <f>'1.Фінансовий результат'!C51</f>
        <v>1945</v>
      </c>
      <c r="D21" s="62">
        <f>'1.Фінансовий результат'!D51</f>
        <v>2268</v>
      </c>
      <c r="E21" s="62">
        <f>'1.Фінансовий результат'!E51</f>
        <v>2566.5</v>
      </c>
      <c r="F21" s="62">
        <f>'1.Фінансовий результат'!F51</f>
        <v>2832</v>
      </c>
      <c r="G21" s="62">
        <f>'1.Фінансовий результат'!G51</f>
        <v>708</v>
      </c>
      <c r="H21" s="62">
        <f>'1.Фінансовий результат'!H51</f>
        <v>708</v>
      </c>
      <c r="I21" s="62">
        <f>'1.Фінансовий результат'!I51</f>
        <v>708</v>
      </c>
      <c r="J21" s="62">
        <f>'1.Фінансовий результат'!J51</f>
        <v>708</v>
      </c>
    </row>
    <row r="22" spans="1:10" ht="20.100000000000001" customHeight="1">
      <c r="A22" s="27" t="s">
        <v>102</v>
      </c>
      <c r="B22" s="78">
        <f>'1.Фінансовий результат'!B83</f>
        <v>1110</v>
      </c>
      <c r="C22" s="62">
        <f>'1.Фінансовий результат'!C83</f>
        <v>893</v>
      </c>
      <c r="D22" s="62">
        <f>'1.Фінансовий результат'!D83</f>
        <v>856</v>
      </c>
      <c r="E22" s="62">
        <f>'1.Фінансовий результат'!E83</f>
        <v>1110</v>
      </c>
      <c r="F22" s="62">
        <f>'1.Фінансовий результат'!F83</f>
        <v>1342</v>
      </c>
      <c r="G22" s="62">
        <f>'1.Фінансовий результат'!G83</f>
        <v>335.5</v>
      </c>
      <c r="H22" s="62">
        <f>'1.Фінансовий результат'!H83</f>
        <v>335.5</v>
      </c>
      <c r="I22" s="62">
        <f>'1.Фінансовий результат'!I83</f>
        <v>335.5</v>
      </c>
      <c r="J22" s="62">
        <f>'1.Фінансовий результат'!J83</f>
        <v>335.5</v>
      </c>
    </row>
    <row r="23" spans="1:10" ht="20.100000000000001" customHeight="1">
      <c r="A23" s="27" t="s">
        <v>12</v>
      </c>
      <c r="B23" s="78">
        <f>'1.Фінансовий результат'!B94</f>
        <v>1120</v>
      </c>
      <c r="C23" s="62">
        <f>'1.Фінансовий результат'!C94</f>
        <v>122</v>
      </c>
      <c r="D23" s="62">
        <f>'1.Фінансовий результат'!D94</f>
        <v>148</v>
      </c>
      <c r="E23" s="62">
        <f>'1.Фінансовий результат'!E94</f>
        <v>112</v>
      </c>
      <c r="F23" s="62">
        <f>'1.Фінансовий результат'!F94</f>
        <v>116</v>
      </c>
      <c r="G23" s="62">
        <f>'1.Фінансовий результат'!G94</f>
        <v>29</v>
      </c>
      <c r="H23" s="62">
        <f>'1.Фінансовий результат'!H94</f>
        <v>29</v>
      </c>
      <c r="I23" s="62">
        <f>'1.Фінансовий результат'!I94</f>
        <v>29</v>
      </c>
      <c r="J23" s="62">
        <f>'1.Фінансовий результат'!J94</f>
        <v>29</v>
      </c>
    </row>
    <row r="24" spans="1:10" ht="38.25" customHeight="1">
      <c r="A24" s="43" t="s">
        <v>233</v>
      </c>
      <c r="B24" s="44">
        <f>'1.Фінансовий результат'!B106</f>
        <v>1130</v>
      </c>
      <c r="C24" s="69">
        <f>'1.Фінансовий результат'!C106</f>
        <v>400</v>
      </c>
      <c r="D24" s="69">
        <f>'1.Фінансовий результат'!D106</f>
        <v>53.799999999999272</v>
      </c>
      <c r="E24" s="69">
        <f>'1.Фінансовий результат'!E106</f>
        <v>200.5</v>
      </c>
      <c r="F24" s="69">
        <f>'1.Фінансовий результат'!F106</f>
        <v>418.39999999999782</v>
      </c>
      <c r="G24" s="69">
        <f>'1.Фінансовий результат'!G106</f>
        <v>104.59999999999945</v>
      </c>
      <c r="H24" s="69">
        <f>'1.Фінансовий результат'!H106</f>
        <v>104.59999999999945</v>
      </c>
      <c r="I24" s="69">
        <f>'1.Фінансовий результат'!I106</f>
        <v>104.59999999999945</v>
      </c>
      <c r="J24" s="69">
        <f>'1.Фінансовий результат'!J106</f>
        <v>104.59999999999945</v>
      </c>
    </row>
    <row r="25" spans="1:10" ht="20.100000000000001" customHeight="1">
      <c r="A25" s="24" t="s">
        <v>240</v>
      </c>
      <c r="B25" s="78">
        <f>'1.Фінансовий результат'!B107</f>
        <v>1140</v>
      </c>
      <c r="C25" s="62">
        <f>'1.Фінансовий результат'!C107</f>
        <v>38</v>
      </c>
      <c r="D25" s="62">
        <f>'1.Фінансовий результат'!D107</f>
        <v>28</v>
      </c>
      <c r="E25" s="62">
        <f>'1.Фінансовий результат'!E107</f>
        <v>25</v>
      </c>
      <c r="F25" s="62">
        <f>'1.Фінансовий результат'!F107</f>
        <v>24</v>
      </c>
      <c r="G25" s="62">
        <f>'1.Фінансовий результат'!G107</f>
        <v>6</v>
      </c>
      <c r="H25" s="62">
        <f>'1.Фінансовий результат'!H107</f>
        <v>6</v>
      </c>
      <c r="I25" s="62">
        <f>'1.Фінансовий результат'!I107</f>
        <v>6</v>
      </c>
      <c r="J25" s="62">
        <f>'1.Фінансовий результат'!J107</f>
        <v>6</v>
      </c>
    </row>
    <row r="26" spans="1:10" ht="20.100000000000001" customHeight="1">
      <c r="A26" s="24" t="s">
        <v>241</v>
      </c>
      <c r="B26" s="78">
        <f>'1.Фінансовий результат'!B108</f>
        <v>1150</v>
      </c>
      <c r="C26" s="62">
        <f>'1.Фінансовий результат'!C108</f>
        <v>3</v>
      </c>
      <c r="D26" s="62">
        <f>'1.Фінансовий результат'!D108</f>
        <v>0</v>
      </c>
      <c r="E26" s="62">
        <f>'1.Фінансовий результат'!E108</f>
        <v>0</v>
      </c>
      <c r="F26" s="62">
        <f>'1.Фінансовий результат'!F108</f>
        <v>0</v>
      </c>
      <c r="G26" s="62">
        <f>'1.Фінансовий результат'!G108</f>
        <v>0</v>
      </c>
      <c r="H26" s="62">
        <f>'1.Фінансовий результат'!H108</f>
        <v>0</v>
      </c>
      <c r="I26" s="62">
        <f>'1.Фінансовий результат'!I108</f>
        <v>0</v>
      </c>
      <c r="J26" s="62">
        <f>'1.Фінансовий результат'!J108</f>
        <v>0</v>
      </c>
    </row>
    <row r="27" spans="1:10" ht="20.100000000000001" customHeight="1">
      <c r="A27" s="27" t="s">
        <v>230</v>
      </c>
      <c r="B27" s="78">
        <f>'1.Фінансовий результат'!B109</f>
        <v>1160</v>
      </c>
      <c r="C27" s="62">
        <f>'1.Фінансовий результат'!C109</f>
        <v>0</v>
      </c>
      <c r="D27" s="62">
        <f>'1.Фінансовий результат'!D109</f>
        <v>0</v>
      </c>
      <c r="E27" s="62">
        <f>'1.Фінансовий результат'!E109</f>
        <v>0</v>
      </c>
      <c r="F27" s="62">
        <f>'1.Фінансовий результат'!F109</f>
        <v>0</v>
      </c>
      <c r="G27" s="62">
        <f>'1.Фінансовий результат'!G109</f>
        <v>0</v>
      </c>
      <c r="H27" s="62">
        <f>'1.Фінансовий результат'!H109</f>
        <v>0</v>
      </c>
      <c r="I27" s="62">
        <f>'1.Фінансовий результат'!I109</f>
        <v>0</v>
      </c>
      <c r="J27" s="62">
        <f>'1.Фінансовий результат'!J109</f>
        <v>0</v>
      </c>
    </row>
    <row r="28" spans="1:10" ht="20.100000000000001" customHeight="1">
      <c r="A28" s="27" t="s">
        <v>231</v>
      </c>
      <c r="B28" s="78">
        <f>'1.Фінансовий результат'!B111</f>
        <v>1170</v>
      </c>
      <c r="C28" s="62">
        <f>'1.Фінансовий результат'!C111</f>
        <v>1</v>
      </c>
      <c r="D28" s="62">
        <f>'1.Фінансовий результат'!D111</f>
        <v>0</v>
      </c>
      <c r="E28" s="62">
        <f>'1.Фінансовий результат'!E111</f>
        <v>0</v>
      </c>
      <c r="F28" s="62">
        <f>'1.Фінансовий результат'!F111</f>
        <v>0</v>
      </c>
      <c r="G28" s="62">
        <f>'1.Фінансовий результат'!G111</f>
        <v>0</v>
      </c>
      <c r="H28" s="62">
        <f>'1.Фінансовий результат'!H111</f>
        <v>0</v>
      </c>
      <c r="I28" s="62">
        <f>'1.Фінансовий результат'!I111</f>
        <v>0</v>
      </c>
      <c r="J28" s="62">
        <f>'1.Фінансовий результат'!J111</f>
        <v>0</v>
      </c>
    </row>
    <row r="29" spans="1:10" ht="43.5" customHeight="1">
      <c r="A29" s="29" t="s">
        <v>235</v>
      </c>
      <c r="B29" s="80">
        <f>'1.Фінансовий результат'!B112</f>
        <v>1200</v>
      </c>
      <c r="C29" s="61">
        <f>'1.Фінансовий результат'!C112</f>
        <v>434</v>
      </c>
      <c r="D29" s="61">
        <f>'1.Фінансовий результат'!D112</f>
        <v>81.799999999999272</v>
      </c>
      <c r="E29" s="61">
        <f>'1.Фінансовий результат'!E112</f>
        <v>225.5</v>
      </c>
      <c r="F29" s="61">
        <f>'1.Фінансовий результат'!F112</f>
        <v>442.39999999999782</v>
      </c>
      <c r="G29" s="61">
        <f>'1.Фінансовий результат'!G112</f>
        <v>110.59999999999945</v>
      </c>
      <c r="H29" s="61">
        <f>'1.Фінансовий результат'!H112</f>
        <v>110.59999999999945</v>
      </c>
      <c r="I29" s="61">
        <f>'1.Фінансовий результат'!I112</f>
        <v>110.59999999999945</v>
      </c>
      <c r="J29" s="61">
        <f>'1.Фінансовий результат'!J112</f>
        <v>110.59999999999945</v>
      </c>
    </row>
    <row r="30" spans="1:10" ht="20.100000000000001" customHeight="1">
      <c r="A30" s="7" t="s">
        <v>103</v>
      </c>
      <c r="B30" s="78">
        <f>'1.Фінансовий результат'!B113</f>
        <v>1210</v>
      </c>
      <c r="C30" s="62">
        <f>'1.Фінансовий результат'!C113</f>
        <v>78</v>
      </c>
      <c r="D30" s="62">
        <f>'1.Фінансовий результат'!D113</f>
        <v>14.4</v>
      </c>
      <c r="E30" s="62">
        <f>'1.Фінансовий результат'!E113</f>
        <v>41</v>
      </c>
      <c r="F30" s="62">
        <f>'1.Фінансовий результат'!F113</f>
        <v>79.2</v>
      </c>
      <c r="G30" s="66">
        <f>'1.Фінансовий результат'!G113</f>
        <v>19.8</v>
      </c>
      <c r="H30" s="66">
        <f>'1.Фінансовий результат'!H113</f>
        <v>19.8</v>
      </c>
      <c r="I30" s="66">
        <f>'1.Фінансовий результат'!I113</f>
        <v>19.8</v>
      </c>
      <c r="J30" s="66">
        <f>'1.Фінансовий результат'!J113</f>
        <v>19.8</v>
      </c>
    </row>
    <row r="31" spans="1:10" ht="35.25" customHeight="1">
      <c r="A31" s="43" t="s">
        <v>236</v>
      </c>
      <c r="B31" s="44">
        <f>'1.Фінансовий результат'!B115</f>
        <v>1230</v>
      </c>
      <c r="C31" s="69">
        <f>'1.Фінансовий результат'!C115</f>
        <v>356</v>
      </c>
      <c r="D31" s="69">
        <f>'1.Фінансовий результат'!D115</f>
        <v>67.399999999999267</v>
      </c>
      <c r="E31" s="69">
        <f>'1.Фінансовий результат'!E115</f>
        <v>184.5</v>
      </c>
      <c r="F31" s="69">
        <f>'1.Фінансовий результат'!F115</f>
        <v>363.19999999999783</v>
      </c>
      <c r="G31" s="72">
        <f>'1.Фінансовий результат'!G115</f>
        <v>90.799999999999457</v>
      </c>
      <c r="H31" s="72">
        <f>'1.Фінансовий результат'!H115</f>
        <v>90.799999999999457</v>
      </c>
      <c r="I31" s="72">
        <f>'1.Фінансовий результат'!I115</f>
        <v>90.799999999999457</v>
      </c>
      <c r="J31" s="72">
        <f>'1.Фінансовий результат'!J115</f>
        <v>90.799999999999457</v>
      </c>
    </row>
    <row r="32" spans="1:10" ht="24.95" customHeight="1">
      <c r="A32" s="280" t="s">
        <v>114</v>
      </c>
      <c r="B32" s="280"/>
      <c r="C32" s="280"/>
      <c r="D32" s="280"/>
      <c r="E32" s="280"/>
      <c r="F32" s="280"/>
      <c r="G32" s="280"/>
      <c r="H32" s="280"/>
      <c r="I32" s="280"/>
      <c r="J32" s="280"/>
    </row>
    <row r="33" spans="1:10" ht="20.100000000000001" customHeight="1">
      <c r="A33" s="26" t="s">
        <v>183</v>
      </c>
      <c r="B33" s="78">
        <f>'2. Розрахунки з бюджетом'!B18</f>
        <v>2100</v>
      </c>
      <c r="C33" s="62">
        <f>'2. Розрахунки з бюджетом'!C18</f>
        <v>65</v>
      </c>
      <c r="D33" s="62">
        <f>'2. Розрахунки з бюджетом'!D18</f>
        <v>72</v>
      </c>
      <c r="E33" s="62">
        <f>'2. Розрахунки з бюджетом'!E18</f>
        <v>33</v>
      </c>
      <c r="F33" s="62">
        <f>'2. Розрахунки з бюджетом'!F18</f>
        <v>66</v>
      </c>
      <c r="G33" s="62">
        <f>'2. Розрахунки з бюджетом'!G18</f>
        <v>16.5</v>
      </c>
      <c r="H33" s="62">
        <f>'2. Розрахунки з бюджетом'!H18</f>
        <v>16.5</v>
      </c>
      <c r="I33" s="62">
        <f>'2. Розрахунки з бюджетом'!I18</f>
        <v>16.5</v>
      </c>
      <c r="J33" s="62">
        <f>'2. Розрахунки з бюджетом'!J18</f>
        <v>16.5</v>
      </c>
    </row>
    <row r="34" spans="1:10" ht="20.100000000000001" customHeight="1">
      <c r="A34" s="19" t="s">
        <v>113</v>
      </c>
      <c r="B34" s="78">
        <f>'2. Розрахунки з бюджетом'!B19</f>
        <v>2110</v>
      </c>
      <c r="C34" s="62">
        <f>'2. Розрахунки з бюджетом'!C19</f>
        <v>78</v>
      </c>
      <c r="D34" s="62">
        <f>'2. Розрахунки з бюджетом'!D19</f>
        <v>14.4</v>
      </c>
      <c r="E34" s="62">
        <f>'2. Розрахунки з бюджетом'!E19</f>
        <v>41</v>
      </c>
      <c r="F34" s="62">
        <f>'2. Розрахунки з бюджетом'!F19</f>
        <v>79.2</v>
      </c>
      <c r="G34" s="62">
        <f>'2. Розрахунки з бюджетом'!G19</f>
        <v>19.8</v>
      </c>
      <c r="H34" s="62">
        <f>'2. Розрахунки з бюджетом'!H19</f>
        <v>19.8</v>
      </c>
      <c r="I34" s="62">
        <f>'2. Розрахунки з бюджетом'!I19</f>
        <v>19.8</v>
      </c>
      <c r="J34" s="62">
        <f>'2. Розрахунки з бюджетом'!J19</f>
        <v>19.8</v>
      </c>
    </row>
    <row r="35" spans="1:10" ht="56.25">
      <c r="A35" s="19" t="s">
        <v>209</v>
      </c>
      <c r="B35" s="78">
        <f>'2. Розрахунки з бюджетом'!B20</f>
        <v>2120</v>
      </c>
      <c r="C35" s="62">
        <f>'2. Розрахунки з бюджетом'!C20</f>
        <v>1412</v>
      </c>
      <c r="D35" s="62">
        <f>'2. Розрахунки з бюджетом'!D20</f>
        <v>1520</v>
      </c>
      <c r="E35" s="62">
        <f>'2. Розрахунки з бюджетом'!E20</f>
        <v>1826</v>
      </c>
      <c r="F35" s="62">
        <f>'2. Розрахунки з бюджетом'!F20</f>
        <v>2374</v>
      </c>
      <c r="G35" s="62">
        <f>'2. Розрахунки з бюджетом'!G20</f>
        <v>593.5</v>
      </c>
      <c r="H35" s="62">
        <f>'2. Розрахунки з бюджетом'!H20</f>
        <v>593.5</v>
      </c>
      <c r="I35" s="62">
        <f>'2. Розрахунки з бюджетом'!I20</f>
        <v>593.5</v>
      </c>
      <c r="J35" s="62">
        <f>'2. Розрахунки з бюджетом'!J20</f>
        <v>593.5</v>
      </c>
    </row>
    <row r="36" spans="1:10" ht="56.25">
      <c r="A36" s="19" t="s">
        <v>210</v>
      </c>
      <c r="B36" s="78">
        <f>'2. Розрахунки з бюджетом'!B21</f>
        <v>2130</v>
      </c>
      <c r="C36" s="62">
        <f>'2. Розрахунки з бюджетом'!C21</f>
        <v>0</v>
      </c>
      <c r="D36" s="62">
        <f>'2. Розрахунки з бюджетом'!D21</f>
        <v>0</v>
      </c>
      <c r="E36" s="62">
        <f>'2. Розрахунки з бюджетом'!E21</f>
        <v>0</v>
      </c>
      <c r="F36" s="62">
        <f>'2. Розрахунки з бюджетом'!F21</f>
        <v>0</v>
      </c>
      <c r="G36" s="62">
        <f>'2. Розрахунки з бюджетом'!G21</f>
        <v>0</v>
      </c>
      <c r="H36" s="62">
        <f>'2. Розрахунки з бюджетом'!H21</f>
        <v>0</v>
      </c>
      <c r="I36" s="62">
        <f>'2. Розрахунки з бюджетом'!I21</f>
        <v>0</v>
      </c>
      <c r="J36" s="62">
        <f>'2. Розрахунки з бюджетом'!J21</f>
        <v>0</v>
      </c>
    </row>
    <row r="37" spans="1:10" ht="37.5">
      <c r="A37" s="26" t="s">
        <v>176</v>
      </c>
      <c r="B37" s="78">
        <f>'2. Розрахунки з бюджетом'!B22</f>
        <v>2140</v>
      </c>
      <c r="C37" s="62">
        <f>'2. Розрахунки з бюджетом'!C22</f>
        <v>2651</v>
      </c>
      <c r="D37" s="62">
        <f>'2. Розрахунки з бюджетом'!D22</f>
        <v>2936</v>
      </c>
      <c r="E37" s="62">
        <f>'2. Розрахунки з бюджетом'!E22</f>
        <v>3134</v>
      </c>
      <c r="F37" s="62">
        <f>'2. Розрахунки з бюджетом'!F22</f>
        <v>3380</v>
      </c>
      <c r="G37" s="62">
        <f>'2. Розрахунки з бюджетом'!G22</f>
        <v>845.00000000000011</v>
      </c>
      <c r="H37" s="62">
        <f>'2. Розрахунки з бюджетом'!H22</f>
        <v>845.00000000000011</v>
      </c>
      <c r="I37" s="62">
        <f>'2. Розрахунки з бюджетом'!I22</f>
        <v>845.00000000000011</v>
      </c>
      <c r="J37" s="62">
        <f>'2. Розрахунки з бюджетом'!J22</f>
        <v>845.00000000000011</v>
      </c>
    </row>
    <row r="38" spans="1:10" ht="39" customHeight="1">
      <c r="A38" s="26" t="s">
        <v>64</v>
      </c>
      <c r="B38" s="78">
        <f>'2. Розрахунки з бюджетом'!B39</f>
        <v>2150</v>
      </c>
      <c r="C38" s="62">
        <f>'2. Розрахунки з бюджетом'!C39</f>
        <v>789</v>
      </c>
      <c r="D38" s="62">
        <f>'2. Розрахунки з бюджетом'!D39</f>
        <v>940</v>
      </c>
      <c r="E38" s="62">
        <f>'2. Розрахунки з бюджетом'!E39</f>
        <v>926</v>
      </c>
      <c r="F38" s="62">
        <f>'2. Розрахунки з бюджетом'!F39</f>
        <v>996</v>
      </c>
      <c r="G38" s="62">
        <f>'2. Розрахунки з бюджетом'!G39</f>
        <v>249</v>
      </c>
      <c r="H38" s="62">
        <f>'2. Розрахунки з бюджетом'!H39</f>
        <v>249</v>
      </c>
      <c r="I38" s="62">
        <f>'2. Розрахунки з бюджетом'!I39</f>
        <v>249</v>
      </c>
      <c r="J38" s="62">
        <f>'2. Розрахунки з бюджетом'!J39</f>
        <v>249</v>
      </c>
    </row>
    <row r="39" spans="1:10" ht="20.100000000000001" customHeight="1">
      <c r="A39" s="25" t="s">
        <v>184</v>
      </c>
      <c r="B39" s="80">
        <f>'2. Розрахунки з бюджетом'!B40</f>
        <v>2200</v>
      </c>
      <c r="C39" s="61">
        <f>'2. Розрахунки з бюджетом'!C40</f>
        <v>4995</v>
      </c>
      <c r="D39" s="61">
        <f>'2. Розрахунки з бюджетом'!D40</f>
        <v>5482.4</v>
      </c>
      <c r="E39" s="61">
        <f>'2. Розрахунки з бюджетом'!E40</f>
        <v>5960</v>
      </c>
      <c r="F39" s="61">
        <f>'2. Розрахунки з бюджетом'!F40</f>
        <v>6895.2</v>
      </c>
      <c r="G39" s="61">
        <f>'2. Розрахунки з бюджетом'!G40</f>
        <v>1723.8000000000002</v>
      </c>
      <c r="H39" s="61">
        <f>'2. Розрахунки з бюджетом'!H40</f>
        <v>1723.8000000000002</v>
      </c>
      <c r="I39" s="61">
        <f>'2. Розрахунки з бюджетом'!I40</f>
        <v>1723.8000000000002</v>
      </c>
      <c r="J39" s="61">
        <f>'2. Розрахунки з бюджетом'!J40</f>
        <v>1723.8000000000002</v>
      </c>
    </row>
    <row r="40" spans="1:10" ht="24.95" customHeight="1">
      <c r="A40" s="280" t="s">
        <v>112</v>
      </c>
      <c r="B40" s="280"/>
      <c r="C40" s="280"/>
      <c r="D40" s="280"/>
      <c r="E40" s="280"/>
      <c r="F40" s="280"/>
      <c r="G40" s="280"/>
      <c r="H40" s="280"/>
      <c r="I40" s="280"/>
      <c r="J40" s="280"/>
    </row>
    <row r="41" spans="1:10" ht="20.100000000000001" customHeight="1">
      <c r="A41" s="25" t="s">
        <v>106</v>
      </c>
      <c r="B41" s="80">
        <f>'3. Рух грошових коштів'!B77</f>
        <v>3600</v>
      </c>
      <c r="C41" s="61">
        <f>'3. Рух грошових коштів'!C77</f>
        <v>8</v>
      </c>
      <c r="D41" s="61">
        <f>'3. Рух грошових коштів'!D77</f>
        <v>468.3</v>
      </c>
      <c r="E41" s="61">
        <f>'3. Рух грошових коштів'!E77</f>
        <v>468</v>
      </c>
      <c r="F41" s="61">
        <f>'3. Рух грошових коштів'!F77</f>
        <v>484</v>
      </c>
      <c r="G41" s="61">
        <f>'3. Рух грошових коштів'!G77</f>
        <v>484</v>
      </c>
      <c r="H41" s="61">
        <f>'3. Рух грошових коштів'!H77</f>
        <v>487.20000000000073</v>
      </c>
      <c r="I41" s="61">
        <f>'3. Рух грошових коштів'!I77</f>
        <v>490.40000000000146</v>
      </c>
      <c r="J41" s="61">
        <f>'3. Рух грошових коштів'!J77</f>
        <v>493.60000000000218</v>
      </c>
    </row>
    <row r="42" spans="1:10" ht="37.5">
      <c r="A42" s="26" t="s">
        <v>107</v>
      </c>
      <c r="B42" s="78">
        <f>'3. Рух грошових коштів'!B32</f>
        <v>3090</v>
      </c>
      <c r="C42" s="62">
        <f>'3. Рух грошових коштів'!C32</f>
        <v>-7162</v>
      </c>
      <c r="D42" s="62">
        <f>'3. Рух грошових коштів'!D32</f>
        <v>-5938.4000000000015</v>
      </c>
      <c r="E42" s="62">
        <f>'3. Рух грошових коштів'!E32</f>
        <v>-9292</v>
      </c>
      <c r="F42" s="62">
        <f>'3. Рух грошових коштів'!F32</f>
        <v>-8787.1999999999971</v>
      </c>
      <c r="G42" s="62">
        <f>'3. Рух грошових коштів'!G32</f>
        <v>-2196.7999999999993</v>
      </c>
      <c r="H42" s="62">
        <f>'3. Рух грошових коштів'!H32</f>
        <v>-2196.7999999999993</v>
      </c>
      <c r="I42" s="62">
        <f>'3. Рух грошових коштів'!I32</f>
        <v>-2196.7999999999993</v>
      </c>
      <c r="J42" s="62">
        <f>'3. Рух грошових коштів'!J32</f>
        <v>-2196.7999999999993</v>
      </c>
    </row>
    <row r="43" spans="1:10" ht="37.5">
      <c r="A43" s="26" t="s">
        <v>170</v>
      </c>
      <c r="B43" s="78">
        <f>'3. Рух грошових коштів'!B49</f>
        <v>3320</v>
      </c>
      <c r="C43" s="62">
        <f>'3. Рух грошових коштів'!C49</f>
        <v>35</v>
      </c>
      <c r="D43" s="62">
        <f>'3. Рух грошових коштів'!D49</f>
        <v>28</v>
      </c>
      <c r="E43" s="62">
        <f>'3. Рух грошових коштів'!E49</f>
        <v>28</v>
      </c>
      <c r="F43" s="62">
        <f>'3. Рух грошових коштів'!F49</f>
        <v>0</v>
      </c>
      <c r="G43" s="62">
        <f>'3. Рух грошових коштів'!G49</f>
        <v>0</v>
      </c>
      <c r="H43" s="62">
        <f>'3. Рух грошових коштів'!H49</f>
        <v>0</v>
      </c>
      <c r="I43" s="62">
        <f>'3. Рух грошових коштів'!I49</f>
        <v>0</v>
      </c>
      <c r="J43" s="62">
        <f>'3. Рух грошових коштів'!J49</f>
        <v>0</v>
      </c>
    </row>
    <row r="44" spans="1:10" ht="37.5">
      <c r="A44" s="26" t="s">
        <v>108</v>
      </c>
      <c r="B44" s="78">
        <f>'3. Рух грошових коштів'!B75</f>
        <v>3580</v>
      </c>
      <c r="C44" s="62">
        <f>'3. Рух грошових коштів'!C75</f>
        <v>7587</v>
      </c>
      <c r="D44" s="62">
        <f>'3. Рух грошових коштів'!D75</f>
        <v>6000</v>
      </c>
      <c r="E44" s="62">
        <f>'3. Рух грошових коштів'!E75</f>
        <v>9280</v>
      </c>
      <c r="F44" s="62">
        <f>'3. Рух грошових коштів'!F75</f>
        <v>8800</v>
      </c>
      <c r="G44" s="62">
        <f>'3. Рух грошових коштів'!G75</f>
        <v>2200</v>
      </c>
      <c r="H44" s="62">
        <f>'3. Рух грошових коштів'!H75</f>
        <v>2200</v>
      </c>
      <c r="I44" s="62">
        <f>'3. Рух грошових коштів'!I75</f>
        <v>2200</v>
      </c>
      <c r="J44" s="62">
        <f>'3. Рух грошових коштів'!J75</f>
        <v>2200</v>
      </c>
    </row>
    <row r="45" spans="1:10" ht="20.100000000000001" customHeight="1">
      <c r="A45" s="26" t="s">
        <v>126</v>
      </c>
      <c r="B45" s="78">
        <f>'3. Рух грошових коштів'!B78</f>
        <v>3610</v>
      </c>
      <c r="C45" s="62">
        <f>'3. Рух грошових коштів'!C78</f>
        <v>0</v>
      </c>
      <c r="D45" s="62">
        <f>'3. Рух грошових коштів'!D78</f>
        <v>0</v>
      </c>
      <c r="E45" s="62">
        <f>'3. Рух грошових коштів'!E78</f>
        <v>0</v>
      </c>
      <c r="F45" s="62">
        <f>'3. Рух грошових коштів'!F78</f>
        <v>0</v>
      </c>
      <c r="G45" s="62">
        <f>'3. Рух грошових коштів'!G78</f>
        <v>0</v>
      </c>
      <c r="H45" s="62">
        <f>'3. Рух грошових коштів'!H78</f>
        <v>0</v>
      </c>
      <c r="I45" s="62">
        <f>'3. Рух грошових коштів'!I78</f>
        <v>0</v>
      </c>
      <c r="J45" s="62">
        <f>'3. Рух грошових коштів'!J78</f>
        <v>0</v>
      </c>
    </row>
    <row r="46" spans="1:10">
      <c r="A46" s="25" t="s">
        <v>109</v>
      </c>
      <c r="B46" s="80">
        <f>'3. Рух грошових коштів'!B79</f>
        <v>3620</v>
      </c>
      <c r="C46" s="61">
        <f>'3. Рух грошових коштів'!C79</f>
        <v>468</v>
      </c>
      <c r="D46" s="61">
        <f>'3. Рух грошових коштів'!D79</f>
        <v>89.1</v>
      </c>
      <c r="E46" s="61">
        <f>'3. Рух грошових коштів'!E79</f>
        <v>484</v>
      </c>
      <c r="F46" s="61">
        <f>'3. Рух грошових коштів'!F79</f>
        <v>496.80000000000291</v>
      </c>
      <c r="G46" s="61">
        <f>'3. Рух грошових коштів'!G79</f>
        <v>487.20000000000073</v>
      </c>
      <c r="H46" s="61">
        <f>'3. Рух грошових коштів'!H79</f>
        <v>490.40000000000146</v>
      </c>
      <c r="I46" s="61">
        <f>'3. Рух грошових коштів'!I79</f>
        <v>493.60000000000218</v>
      </c>
      <c r="J46" s="61">
        <f>'3. Рух грошових коштів'!J79</f>
        <v>496.80000000000291</v>
      </c>
    </row>
    <row r="47" spans="1:10" ht="24.95" customHeight="1">
      <c r="A47" s="276" t="s">
        <v>159</v>
      </c>
      <c r="B47" s="277"/>
      <c r="C47" s="277"/>
      <c r="D47" s="277"/>
      <c r="E47" s="277"/>
      <c r="F47" s="277"/>
      <c r="G47" s="277"/>
      <c r="H47" s="277"/>
      <c r="I47" s="277"/>
      <c r="J47" s="278"/>
    </row>
    <row r="48" spans="1:10" ht="20.100000000000001" customHeight="1">
      <c r="A48" s="26" t="s">
        <v>158</v>
      </c>
      <c r="B48" s="78">
        <f>'4. Кап. інвестиції'!B7</f>
        <v>4000</v>
      </c>
      <c r="C48" s="62">
        <f>'4. Кап. інвестиції'!C7</f>
        <v>1204.9999999999998</v>
      </c>
      <c r="D48" s="62">
        <f>'4. Кап. інвестиції'!D7</f>
        <v>910</v>
      </c>
      <c r="E48" s="62">
        <f>'4. Кап. інвестиції'!E7</f>
        <v>1600</v>
      </c>
      <c r="F48" s="62">
        <f>'4. Кап. інвестиції'!F7</f>
        <v>3425.1000000000004</v>
      </c>
      <c r="G48" s="62">
        <f>'4. Кап. інвестиції'!G7</f>
        <v>95</v>
      </c>
      <c r="H48" s="62">
        <f>'4. Кап. інвестиції'!H7</f>
        <v>1095</v>
      </c>
      <c r="I48" s="62">
        <f>'4. Кап. інвестиції'!I7</f>
        <v>1301.8</v>
      </c>
      <c r="J48" s="62">
        <f>'4. Кап. інвестиції'!J7</f>
        <v>933.3</v>
      </c>
    </row>
    <row r="49" spans="1:10" s="82" customFormat="1" ht="24.95" customHeight="1">
      <c r="A49" s="281"/>
      <c r="B49" s="281"/>
      <c r="C49" s="281"/>
      <c r="D49" s="281"/>
      <c r="E49" s="281"/>
      <c r="F49" s="281"/>
      <c r="G49" s="281"/>
      <c r="H49" s="281"/>
      <c r="I49" s="281"/>
      <c r="J49" s="281"/>
    </row>
    <row r="50" spans="1:10" s="82" customFormat="1" ht="24.9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</row>
    <row r="51" spans="1:10" ht="24.95" customHeight="1">
      <c r="A51" s="50"/>
      <c r="C51" s="38"/>
      <c r="D51" s="38"/>
      <c r="E51" s="38"/>
      <c r="F51" s="38"/>
      <c r="G51" s="38"/>
      <c r="H51" s="38"/>
      <c r="I51" s="38"/>
      <c r="J51" s="38"/>
    </row>
    <row r="52" spans="1:10" ht="19.5" customHeight="1">
      <c r="A52" s="54" t="s">
        <v>508</v>
      </c>
      <c r="B52" s="1"/>
      <c r="C52" s="273" t="s">
        <v>81</v>
      </c>
      <c r="D52" s="273"/>
      <c r="E52" s="273"/>
      <c r="F52" s="274"/>
      <c r="G52" s="8"/>
      <c r="H52" s="275" t="s">
        <v>520</v>
      </c>
      <c r="I52" s="275"/>
      <c r="J52" s="275"/>
    </row>
    <row r="53" spans="1:10" s="2" customFormat="1" ht="15.75" customHeight="1">
      <c r="A53" s="55" t="s">
        <v>59</v>
      </c>
      <c r="B53" s="52"/>
      <c r="C53" s="268" t="s">
        <v>60</v>
      </c>
      <c r="D53" s="268"/>
      <c r="E53" s="268"/>
      <c r="F53" s="268"/>
      <c r="G53" s="53"/>
      <c r="H53" s="268" t="s">
        <v>78</v>
      </c>
      <c r="I53" s="268"/>
      <c r="J53" s="268"/>
    </row>
    <row r="54" spans="1:10">
      <c r="J54" s="107"/>
    </row>
    <row r="55" spans="1:10">
      <c r="A55" s="20"/>
    </row>
    <row r="56" spans="1:10">
      <c r="A56" s="20"/>
    </row>
    <row r="57" spans="1:10">
      <c r="A57" s="20"/>
    </row>
    <row r="58" spans="1:10" s="12" customFormat="1">
      <c r="A58" s="20"/>
      <c r="F58" s="65"/>
      <c r="G58" s="65"/>
      <c r="H58" s="65"/>
      <c r="I58" s="65"/>
      <c r="J58" s="65"/>
    </row>
    <row r="59" spans="1:10" s="12" customFormat="1">
      <c r="A59" s="20"/>
      <c r="F59" s="65"/>
      <c r="G59" s="65"/>
      <c r="H59" s="65"/>
      <c r="I59" s="65"/>
      <c r="J59" s="65"/>
    </row>
    <row r="60" spans="1:10" s="12" customFormat="1">
      <c r="A60" s="20"/>
      <c r="F60" s="65"/>
      <c r="G60" s="65"/>
      <c r="H60" s="65"/>
      <c r="I60" s="65"/>
      <c r="J60" s="65"/>
    </row>
    <row r="61" spans="1:10" s="12" customFormat="1">
      <c r="A61" s="20"/>
      <c r="F61" s="65"/>
      <c r="G61" s="65"/>
      <c r="H61" s="65"/>
      <c r="I61" s="65"/>
      <c r="J61" s="65"/>
    </row>
    <row r="62" spans="1:10" s="12" customFormat="1">
      <c r="A62" s="20"/>
      <c r="F62" s="65"/>
      <c r="G62" s="65"/>
      <c r="H62" s="65"/>
      <c r="I62" s="65"/>
      <c r="J62" s="65"/>
    </row>
    <row r="63" spans="1:10" s="12" customFormat="1">
      <c r="A63" s="20"/>
      <c r="F63" s="65"/>
      <c r="G63" s="65"/>
      <c r="H63" s="65"/>
      <c r="I63" s="65"/>
      <c r="J63" s="65"/>
    </row>
    <row r="64" spans="1:10" s="12" customFormat="1">
      <c r="A64" s="20"/>
      <c r="F64" s="65"/>
      <c r="G64" s="65"/>
      <c r="H64" s="65"/>
      <c r="I64" s="65"/>
      <c r="J64" s="65"/>
    </row>
    <row r="65" spans="1:10" s="12" customFormat="1">
      <c r="A65" s="20"/>
      <c r="F65" s="65"/>
      <c r="G65" s="65"/>
      <c r="H65" s="65"/>
      <c r="I65" s="65"/>
      <c r="J65" s="65"/>
    </row>
    <row r="66" spans="1:10" s="12" customFormat="1">
      <c r="A66" s="20"/>
      <c r="F66" s="65"/>
      <c r="G66" s="65"/>
      <c r="H66" s="65"/>
      <c r="I66" s="65"/>
      <c r="J66" s="65"/>
    </row>
    <row r="67" spans="1:10" s="12" customFormat="1">
      <c r="A67" s="20"/>
      <c r="F67" s="65"/>
      <c r="G67" s="65"/>
      <c r="H67" s="65"/>
      <c r="I67" s="65"/>
      <c r="J67" s="65"/>
    </row>
    <row r="68" spans="1:10" s="12" customFormat="1">
      <c r="A68" s="20"/>
      <c r="F68" s="65"/>
      <c r="G68" s="65"/>
      <c r="H68" s="65"/>
      <c r="I68" s="65"/>
      <c r="J68" s="65"/>
    </row>
    <row r="69" spans="1:10" s="12" customFormat="1">
      <c r="A69" s="20"/>
      <c r="F69" s="65"/>
      <c r="G69" s="65"/>
      <c r="H69" s="65"/>
      <c r="I69" s="65"/>
      <c r="J69" s="65"/>
    </row>
    <row r="70" spans="1:10" s="12" customFormat="1">
      <c r="A70" s="20"/>
      <c r="F70" s="65"/>
      <c r="G70" s="65"/>
      <c r="H70" s="65"/>
      <c r="I70" s="65"/>
      <c r="J70" s="65"/>
    </row>
    <row r="71" spans="1:10" s="12" customFormat="1">
      <c r="A71" s="20"/>
      <c r="F71" s="65"/>
      <c r="G71" s="65"/>
      <c r="H71" s="65"/>
      <c r="I71" s="65"/>
      <c r="J71" s="65"/>
    </row>
    <row r="72" spans="1:10" s="12" customFormat="1">
      <c r="A72" s="20"/>
      <c r="F72" s="65"/>
      <c r="G72" s="65"/>
      <c r="H72" s="65"/>
      <c r="I72" s="65"/>
      <c r="J72" s="65"/>
    </row>
    <row r="73" spans="1:10" s="12" customFormat="1">
      <c r="A73" s="20"/>
      <c r="F73" s="65"/>
      <c r="G73" s="65"/>
      <c r="H73" s="65"/>
      <c r="I73" s="65"/>
      <c r="J73" s="65"/>
    </row>
    <row r="74" spans="1:10" s="12" customFormat="1">
      <c r="A74" s="20"/>
      <c r="F74" s="65"/>
      <c r="G74" s="65"/>
      <c r="H74" s="65"/>
      <c r="I74" s="65"/>
      <c r="J74" s="65"/>
    </row>
    <row r="75" spans="1:10" s="12" customFormat="1">
      <c r="A75" s="20"/>
      <c r="F75" s="65"/>
      <c r="G75" s="65"/>
      <c r="H75" s="65"/>
      <c r="I75" s="65"/>
      <c r="J75" s="65"/>
    </row>
    <row r="76" spans="1:10" s="12" customFormat="1">
      <c r="A76" s="20"/>
      <c r="F76" s="65"/>
      <c r="G76" s="65"/>
      <c r="H76" s="65"/>
      <c r="I76" s="65"/>
      <c r="J76" s="65"/>
    </row>
    <row r="77" spans="1:10" s="12" customFormat="1">
      <c r="A77" s="20"/>
      <c r="F77" s="65"/>
      <c r="G77" s="65"/>
      <c r="H77" s="65"/>
      <c r="I77" s="65"/>
      <c r="J77" s="65"/>
    </row>
    <row r="78" spans="1:10" s="12" customFormat="1">
      <c r="A78" s="20"/>
      <c r="F78" s="65"/>
      <c r="G78" s="65"/>
      <c r="H78" s="65"/>
      <c r="I78" s="65"/>
      <c r="J78" s="65"/>
    </row>
    <row r="79" spans="1:10" s="12" customFormat="1">
      <c r="A79" s="20"/>
      <c r="F79" s="65"/>
      <c r="G79" s="65"/>
      <c r="H79" s="65"/>
      <c r="I79" s="65"/>
      <c r="J79" s="65"/>
    </row>
    <row r="80" spans="1:10" s="12" customFormat="1">
      <c r="A80" s="20"/>
      <c r="F80" s="65"/>
      <c r="G80" s="65"/>
      <c r="H80" s="65"/>
      <c r="I80" s="65"/>
      <c r="J80" s="65"/>
    </row>
    <row r="81" spans="1:10" s="12" customFormat="1">
      <c r="A81" s="20"/>
      <c r="F81" s="65"/>
      <c r="G81" s="65"/>
      <c r="H81" s="65"/>
      <c r="I81" s="65"/>
      <c r="J81" s="65"/>
    </row>
    <row r="82" spans="1:10" s="12" customFormat="1">
      <c r="A82" s="20"/>
      <c r="F82" s="65"/>
      <c r="G82" s="65"/>
      <c r="H82" s="65"/>
      <c r="I82" s="65"/>
      <c r="J82" s="65"/>
    </row>
    <row r="83" spans="1:10" s="12" customFormat="1">
      <c r="A83" s="20"/>
      <c r="F83" s="65"/>
      <c r="G83" s="65"/>
      <c r="H83" s="65"/>
      <c r="I83" s="65"/>
      <c r="J83" s="65"/>
    </row>
    <row r="84" spans="1:10" s="12" customFormat="1">
      <c r="A84" s="20"/>
      <c r="F84" s="65"/>
      <c r="G84" s="65"/>
      <c r="H84" s="65"/>
      <c r="I84" s="65"/>
      <c r="J84" s="65"/>
    </row>
    <row r="85" spans="1:10" s="12" customFormat="1">
      <c r="A85" s="20"/>
      <c r="F85" s="65"/>
      <c r="G85" s="65"/>
      <c r="H85" s="65"/>
      <c r="I85" s="65"/>
      <c r="J85" s="65"/>
    </row>
    <row r="86" spans="1:10" s="12" customFormat="1">
      <c r="A86" s="20"/>
      <c r="F86" s="65"/>
      <c r="G86" s="65"/>
      <c r="H86" s="65"/>
      <c r="I86" s="65"/>
      <c r="J86" s="65"/>
    </row>
    <row r="87" spans="1:10" s="12" customFormat="1">
      <c r="A87" s="20"/>
      <c r="F87" s="65"/>
      <c r="G87" s="65"/>
      <c r="H87" s="65"/>
      <c r="I87" s="65"/>
      <c r="J87" s="65"/>
    </row>
    <row r="88" spans="1:10" s="12" customFormat="1">
      <c r="A88" s="20"/>
      <c r="F88" s="65"/>
      <c r="G88" s="65"/>
      <c r="H88" s="65"/>
      <c r="I88" s="65"/>
      <c r="J88" s="65"/>
    </row>
    <row r="89" spans="1:10" s="12" customFormat="1">
      <c r="A89" s="20"/>
      <c r="F89" s="65"/>
      <c r="G89" s="65"/>
      <c r="H89" s="65"/>
      <c r="I89" s="65"/>
      <c r="J89" s="65"/>
    </row>
    <row r="90" spans="1:10" s="12" customFormat="1">
      <c r="A90" s="20"/>
      <c r="F90" s="65"/>
      <c r="G90" s="65"/>
      <c r="H90" s="65"/>
      <c r="I90" s="65"/>
      <c r="J90" s="65"/>
    </row>
    <row r="91" spans="1:10" s="12" customFormat="1">
      <c r="A91" s="20"/>
      <c r="F91" s="65"/>
      <c r="G91" s="65"/>
      <c r="H91" s="65"/>
      <c r="I91" s="65"/>
      <c r="J91" s="65"/>
    </row>
    <row r="92" spans="1:10" s="12" customFormat="1">
      <c r="A92" s="20"/>
      <c r="F92" s="65"/>
      <c r="G92" s="65"/>
      <c r="H92" s="65"/>
      <c r="I92" s="65"/>
      <c r="J92" s="65"/>
    </row>
    <row r="93" spans="1:10" s="12" customFormat="1">
      <c r="A93" s="20"/>
      <c r="F93" s="65"/>
      <c r="G93" s="65"/>
      <c r="H93" s="65"/>
      <c r="I93" s="65"/>
      <c r="J93" s="65"/>
    </row>
    <row r="94" spans="1:10" s="12" customFormat="1">
      <c r="A94" s="20"/>
      <c r="F94" s="65"/>
      <c r="G94" s="65"/>
      <c r="H94" s="65"/>
      <c r="I94" s="65"/>
      <c r="J94" s="65"/>
    </row>
    <row r="95" spans="1:10" s="12" customFormat="1">
      <c r="A95" s="20"/>
      <c r="F95" s="65"/>
      <c r="G95" s="65"/>
      <c r="H95" s="65"/>
      <c r="I95" s="65"/>
      <c r="J95" s="65"/>
    </row>
    <row r="96" spans="1:10" s="12" customFormat="1">
      <c r="A96" s="20"/>
      <c r="F96" s="65"/>
      <c r="G96" s="65"/>
      <c r="H96" s="65"/>
      <c r="I96" s="65"/>
      <c r="J96" s="65"/>
    </row>
    <row r="97" spans="1:10" s="12" customFormat="1">
      <c r="A97" s="20"/>
      <c r="F97" s="65"/>
      <c r="G97" s="65"/>
      <c r="H97" s="65"/>
      <c r="I97" s="65"/>
      <c r="J97" s="65"/>
    </row>
    <row r="98" spans="1:10" s="12" customFormat="1">
      <c r="A98" s="20"/>
      <c r="F98" s="65"/>
      <c r="G98" s="65"/>
      <c r="H98" s="65"/>
      <c r="I98" s="65"/>
      <c r="J98" s="65"/>
    </row>
    <row r="99" spans="1:10" s="12" customFormat="1">
      <c r="A99" s="20"/>
      <c r="F99" s="65"/>
      <c r="G99" s="65"/>
      <c r="H99" s="65"/>
      <c r="I99" s="65"/>
      <c r="J99" s="65"/>
    </row>
    <row r="100" spans="1:10" s="12" customFormat="1">
      <c r="A100" s="20"/>
      <c r="F100" s="65"/>
      <c r="G100" s="65"/>
      <c r="H100" s="65"/>
      <c r="I100" s="65"/>
      <c r="J100" s="65"/>
    </row>
    <row r="101" spans="1:10" s="12" customFormat="1">
      <c r="A101" s="20"/>
      <c r="F101" s="65"/>
      <c r="G101" s="65"/>
      <c r="H101" s="65"/>
      <c r="I101" s="65"/>
      <c r="J101" s="65"/>
    </row>
    <row r="102" spans="1:10" s="12" customFormat="1">
      <c r="A102" s="20"/>
      <c r="F102" s="65"/>
      <c r="G102" s="65"/>
      <c r="H102" s="65"/>
      <c r="I102" s="65"/>
      <c r="J102" s="65"/>
    </row>
    <row r="103" spans="1:10" s="12" customFormat="1">
      <c r="A103" s="20"/>
      <c r="F103" s="65"/>
      <c r="G103" s="65"/>
      <c r="H103" s="65"/>
      <c r="I103" s="65"/>
      <c r="J103" s="65"/>
    </row>
    <row r="104" spans="1:10" s="12" customFormat="1">
      <c r="A104" s="20"/>
      <c r="F104" s="65"/>
      <c r="G104" s="65"/>
      <c r="H104" s="65"/>
      <c r="I104" s="65"/>
      <c r="J104" s="65"/>
    </row>
    <row r="105" spans="1:10" s="12" customFormat="1">
      <c r="A105" s="20"/>
      <c r="F105" s="65"/>
      <c r="G105" s="65"/>
      <c r="H105" s="65"/>
      <c r="I105" s="65"/>
      <c r="J105" s="65"/>
    </row>
    <row r="106" spans="1:10" s="12" customFormat="1">
      <c r="A106" s="20"/>
      <c r="F106" s="65"/>
      <c r="G106" s="65"/>
      <c r="H106" s="65"/>
      <c r="I106" s="65"/>
      <c r="J106" s="65"/>
    </row>
    <row r="107" spans="1:10" s="12" customFormat="1">
      <c r="A107" s="20"/>
      <c r="F107" s="65"/>
      <c r="G107" s="65"/>
      <c r="H107" s="65"/>
      <c r="I107" s="65"/>
      <c r="J107" s="65"/>
    </row>
    <row r="108" spans="1:10" s="12" customFormat="1">
      <c r="A108" s="20"/>
      <c r="F108" s="65"/>
      <c r="G108" s="65"/>
      <c r="H108" s="65"/>
      <c r="I108" s="65"/>
      <c r="J108" s="65"/>
    </row>
    <row r="109" spans="1:10" s="12" customFormat="1">
      <c r="A109" s="20"/>
      <c r="F109" s="65"/>
      <c r="G109" s="65"/>
      <c r="H109" s="65"/>
      <c r="I109" s="65"/>
      <c r="J109" s="65"/>
    </row>
    <row r="110" spans="1:10" s="12" customFormat="1">
      <c r="A110" s="20"/>
      <c r="F110" s="65"/>
      <c r="G110" s="65"/>
      <c r="H110" s="65"/>
      <c r="I110" s="65"/>
      <c r="J110" s="65"/>
    </row>
    <row r="111" spans="1:10" s="12" customFormat="1">
      <c r="A111" s="20"/>
      <c r="F111" s="65"/>
      <c r="G111" s="65"/>
      <c r="H111" s="65"/>
      <c r="I111" s="65"/>
      <c r="J111" s="65"/>
    </row>
    <row r="112" spans="1:10" s="12" customFormat="1">
      <c r="A112" s="20"/>
      <c r="F112" s="65"/>
      <c r="G112" s="65"/>
      <c r="H112" s="65"/>
      <c r="I112" s="65"/>
      <c r="J112" s="65"/>
    </row>
    <row r="113" spans="1:10" s="12" customFormat="1">
      <c r="A113" s="20"/>
      <c r="F113" s="65"/>
      <c r="G113" s="65"/>
      <c r="H113" s="65"/>
      <c r="I113" s="65"/>
      <c r="J113" s="65"/>
    </row>
    <row r="114" spans="1:10" s="12" customFormat="1">
      <c r="A114" s="20"/>
      <c r="F114" s="65"/>
      <c r="G114" s="65"/>
      <c r="H114" s="65"/>
      <c r="I114" s="65"/>
      <c r="J114" s="65"/>
    </row>
    <row r="115" spans="1:10" s="12" customFormat="1">
      <c r="A115" s="20"/>
      <c r="F115" s="65"/>
      <c r="G115" s="65"/>
      <c r="H115" s="65"/>
      <c r="I115" s="65"/>
      <c r="J115" s="65"/>
    </row>
    <row r="116" spans="1:10" s="12" customFormat="1">
      <c r="A116" s="20"/>
      <c r="F116" s="65"/>
      <c r="G116" s="65"/>
      <c r="H116" s="65"/>
      <c r="I116" s="65"/>
      <c r="J116" s="65"/>
    </row>
    <row r="117" spans="1:10" s="12" customFormat="1">
      <c r="A117" s="20"/>
      <c r="F117" s="65"/>
      <c r="G117" s="65"/>
      <c r="H117" s="65"/>
      <c r="I117" s="65"/>
      <c r="J117" s="65"/>
    </row>
    <row r="118" spans="1:10" s="12" customFormat="1">
      <c r="A118" s="20"/>
      <c r="F118" s="65"/>
      <c r="G118" s="65"/>
      <c r="H118" s="65"/>
      <c r="I118" s="65"/>
      <c r="J118" s="65"/>
    </row>
    <row r="119" spans="1:10" s="12" customFormat="1">
      <c r="A119" s="20"/>
      <c r="F119" s="65"/>
      <c r="G119" s="65"/>
      <c r="H119" s="65"/>
      <c r="I119" s="65"/>
      <c r="J119" s="65"/>
    </row>
    <row r="120" spans="1:10" s="12" customFormat="1">
      <c r="A120" s="20"/>
      <c r="F120" s="65"/>
      <c r="G120" s="65"/>
      <c r="H120" s="65"/>
      <c r="I120" s="65"/>
      <c r="J120" s="65"/>
    </row>
    <row r="121" spans="1:10" s="12" customFormat="1">
      <c r="A121" s="20"/>
      <c r="F121" s="65"/>
      <c r="G121" s="65"/>
      <c r="H121" s="65"/>
      <c r="I121" s="65"/>
      <c r="J121" s="65"/>
    </row>
    <row r="122" spans="1:10" s="12" customFormat="1">
      <c r="A122" s="20"/>
      <c r="F122" s="65"/>
      <c r="G122" s="65"/>
      <c r="H122" s="65"/>
      <c r="I122" s="65"/>
      <c r="J122" s="65"/>
    </row>
    <row r="123" spans="1:10" s="12" customFormat="1">
      <c r="A123" s="20"/>
      <c r="F123" s="65"/>
      <c r="G123" s="65"/>
      <c r="H123" s="65"/>
      <c r="I123" s="65"/>
      <c r="J123" s="65"/>
    </row>
    <row r="124" spans="1:10" s="12" customFormat="1">
      <c r="A124" s="20"/>
      <c r="F124" s="65"/>
      <c r="G124" s="65"/>
      <c r="H124" s="65"/>
      <c r="I124" s="65"/>
      <c r="J124" s="65"/>
    </row>
    <row r="125" spans="1:10" s="12" customFormat="1">
      <c r="A125" s="20"/>
      <c r="F125" s="65"/>
      <c r="G125" s="65"/>
      <c r="H125" s="65"/>
      <c r="I125" s="65"/>
      <c r="J125" s="65"/>
    </row>
    <row r="126" spans="1:10" s="12" customFormat="1">
      <c r="A126" s="20"/>
      <c r="F126" s="65"/>
      <c r="G126" s="65"/>
      <c r="H126" s="65"/>
      <c r="I126" s="65"/>
      <c r="J126" s="65"/>
    </row>
    <row r="127" spans="1:10" s="12" customFormat="1">
      <c r="A127" s="20"/>
      <c r="F127" s="65"/>
      <c r="G127" s="65"/>
      <c r="H127" s="65"/>
      <c r="I127" s="65"/>
      <c r="J127" s="65"/>
    </row>
    <row r="128" spans="1:10" s="12" customFormat="1">
      <c r="A128" s="20"/>
      <c r="F128" s="65"/>
      <c r="G128" s="65"/>
      <c r="H128" s="65"/>
      <c r="I128" s="65"/>
      <c r="J128" s="65"/>
    </row>
    <row r="129" spans="1:10" s="12" customFormat="1">
      <c r="A129" s="20"/>
      <c r="F129" s="65"/>
      <c r="G129" s="65"/>
      <c r="H129" s="65"/>
      <c r="I129" s="65"/>
      <c r="J129" s="65"/>
    </row>
    <row r="130" spans="1:10" s="12" customFormat="1">
      <c r="A130" s="20"/>
      <c r="F130" s="65"/>
      <c r="G130" s="65"/>
      <c r="H130" s="65"/>
      <c r="I130" s="65"/>
      <c r="J130" s="65"/>
    </row>
    <row r="131" spans="1:10" s="12" customFormat="1">
      <c r="A131" s="20"/>
      <c r="F131" s="65"/>
      <c r="G131" s="65"/>
      <c r="H131" s="65"/>
      <c r="I131" s="65"/>
      <c r="J131" s="65"/>
    </row>
    <row r="132" spans="1:10" s="12" customFormat="1">
      <c r="A132" s="20"/>
      <c r="F132" s="65"/>
      <c r="G132" s="65"/>
      <c r="H132" s="65"/>
      <c r="I132" s="65"/>
      <c r="J132" s="65"/>
    </row>
    <row r="133" spans="1:10" s="12" customFormat="1">
      <c r="A133" s="20"/>
      <c r="F133" s="65"/>
      <c r="G133" s="65"/>
      <c r="H133" s="65"/>
      <c r="I133" s="65"/>
      <c r="J133" s="65"/>
    </row>
    <row r="134" spans="1:10" s="12" customFormat="1">
      <c r="A134" s="20"/>
      <c r="F134" s="65"/>
      <c r="G134" s="65"/>
      <c r="H134" s="65"/>
      <c r="I134" s="65"/>
      <c r="J134" s="65"/>
    </row>
    <row r="135" spans="1:10" s="12" customFormat="1">
      <c r="A135" s="20"/>
      <c r="F135" s="65"/>
      <c r="G135" s="65"/>
      <c r="H135" s="65"/>
      <c r="I135" s="65"/>
      <c r="J135" s="65"/>
    </row>
    <row r="136" spans="1:10" s="12" customFormat="1">
      <c r="A136" s="20"/>
      <c r="F136" s="65"/>
      <c r="G136" s="65"/>
      <c r="H136" s="65"/>
      <c r="I136" s="65"/>
      <c r="J136" s="65"/>
    </row>
    <row r="137" spans="1:10" s="12" customFormat="1">
      <c r="A137" s="20"/>
      <c r="F137" s="65"/>
      <c r="G137" s="65"/>
      <c r="H137" s="65"/>
      <c r="I137" s="65"/>
      <c r="J137" s="65"/>
    </row>
    <row r="138" spans="1:10" s="12" customFormat="1">
      <c r="A138" s="20"/>
      <c r="F138" s="65"/>
      <c r="G138" s="65"/>
      <c r="H138" s="65"/>
      <c r="I138" s="65"/>
      <c r="J138" s="65"/>
    </row>
    <row r="139" spans="1:10" s="12" customFormat="1">
      <c r="A139" s="20"/>
      <c r="F139" s="65"/>
      <c r="G139" s="65"/>
      <c r="H139" s="65"/>
      <c r="I139" s="65"/>
      <c r="J139" s="65"/>
    </row>
    <row r="140" spans="1:10" s="12" customFormat="1">
      <c r="A140" s="20"/>
      <c r="F140" s="65"/>
      <c r="G140" s="65"/>
      <c r="H140" s="65"/>
      <c r="I140" s="65"/>
      <c r="J140" s="65"/>
    </row>
    <row r="141" spans="1:10" s="12" customFormat="1">
      <c r="A141" s="20"/>
      <c r="F141" s="65"/>
      <c r="G141" s="65"/>
      <c r="H141" s="65"/>
      <c r="I141" s="65"/>
      <c r="J141" s="65"/>
    </row>
    <row r="142" spans="1:10" s="12" customFormat="1">
      <c r="A142" s="20"/>
      <c r="F142" s="65"/>
      <c r="G142" s="65"/>
      <c r="H142" s="65"/>
      <c r="I142" s="65"/>
      <c r="J142" s="65"/>
    </row>
    <row r="143" spans="1:10" s="12" customFormat="1">
      <c r="A143" s="20"/>
      <c r="F143" s="65"/>
      <c r="G143" s="65"/>
      <c r="H143" s="65"/>
      <c r="I143" s="65"/>
      <c r="J143" s="65"/>
    </row>
    <row r="144" spans="1:10" s="12" customFormat="1">
      <c r="A144" s="20"/>
      <c r="F144" s="65"/>
      <c r="G144" s="65"/>
      <c r="H144" s="65"/>
      <c r="I144" s="65"/>
      <c r="J144" s="65"/>
    </row>
    <row r="145" spans="1:10" s="12" customFormat="1">
      <c r="A145" s="20"/>
      <c r="F145" s="65"/>
      <c r="G145" s="65"/>
      <c r="H145" s="65"/>
      <c r="I145" s="65"/>
      <c r="J145" s="65"/>
    </row>
    <row r="146" spans="1:10" s="12" customFormat="1">
      <c r="A146" s="20"/>
      <c r="F146" s="65"/>
      <c r="G146" s="65"/>
      <c r="H146" s="65"/>
      <c r="I146" s="65"/>
      <c r="J146" s="65"/>
    </row>
    <row r="147" spans="1:10" s="12" customFormat="1">
      <c r="A147" s="20"/>
      <c r="F147" s="65"/>
      <c r="G147" s="65"/>
      <c r="H147" s="65"/>
      <c r="I147" s="65"/>
      <c r="J147" s="65"/>
    </row>
    <row r="148" spans="1:10" s="12" customFormat="1">
      <c r="A148" s="20"/>
      <c r="F148" s="65"/>
      <c r="G148" s="65"/>
      <c r="H148" s="65"/>
      <c r="I148" s="65"/>
      <c r="J148" s="65"/>
    </row>
    <row r="149" spans="1:10" s="12" customFormat="1">
      <c r="A149" s="20"/>
      <c r="F149" s="65"/>
      <c r="G149" s="65"/>
      <c r="H149" s="65"/>
      <c r="I149" s="65"/>
      <c r="J149" s="65"/>
    </row>
    <row r="150" spans="1:10" s="12" customFormat="1">
      <c r="A150" s="20"/>
      <c r="F150" s="65"/>
      <c r="G150" s="65"/>
      <c r="H150" s="65"/>
      <c r="I150" s="65"/>
      <c r="J150" s="65"/>
    </row>
    <row r="151" spans="1:10" s="12" customFormat="1">
      <c r="A151" s="20"/>
      <c r="F151" s="65"/>
      <c r="G151" s="65"/>
      <c r="H151" s="65"/>
      <c r="I151" s="65"/>
      <c r="J151" s="65"/>
    </row>
    <row r="152" spans="1:10" s="12" customFormat="1">
      <c r="A152" s="20"/>
      <c r="F152" s="65"/>
      <c r="G152" s="65"/>
      <c r="H152" s="65"/>
      <c r="I152" s="65"/>
      <c r="J152" s="65"/>
    </row>
    <row r="153" spans="1:10" s="12" customFormat="1">
      <c r="A153" s="20"/>
      <c r="F153" s="65"/>
      <c r="G153" s="65"/>
      <c r="H153" s="65"/>
      <c r="I153" s="65"/>
      <c r="J153" s="65"/>
    </row>
    <row r="154" spans="1:10" s="12" customFormat="1">
      <c r="A154" s="20"/>
      <c r="F154" s="65"/>
      <c r="G154" s="65"/>
      <c r="H154" s="65"/>
      <c r="I154" s="65"/>
      <c r="J154" s="65"/>
    </row>
    <row r="155" spans="1:10" s="12" customFormat="1">
      <c r="A155" s="20"/>
      <c r="F155" s="65"/>
      <c r="G155" s="65"/>
      <c r="H155" s="65"/>
      <c r="I155" s="65"/>
      <c r="J155" s="65"/>
    </row>
    <row r="156" spans="1:10" s="12" customFormat="1">
      <c r="A156" s="20"/>
      <c r="F156" s="65"/>
      <c r="G156" s="65"/>
      <c r="H156" s="65"/>
      <c r="I156" s="65"/>
      <c r="J156" s="65"/>
    </row>
    <row r="157" spans="1:10" s="12" customFormat="1">
      <c r="A157" s="20"/>
      <c r="F157" s="65"/>
      <c r="G157" s="65"/>
      <c r="H157" s="65"/>
      <c r="I157" s="65"/>
      <c r="J157" s="65"/>
    </row>
    <row r="158" spans="1:10" s="12" customFormat="1">
      <c r="A158" s="20"/>
      <c r="F158" s="65"/>
      <c r="G158" s="65"/>
      <c r="H158" s="65"/>
      <c r="I158" s="65"/>
      <c r="J158" s="65"/>
    </row>
    <row r="159" spans="1:10" s="12" customFormat="1">
      <c r="A159" s="20"/>
      <c r="F159" s="65"/>
      <c r="G159" s="65"/>
      <c r="H159" s="65"/>
      <c r="I159" s="65"/>
      <c r="J159" s="65"/>
    </row>
    <row r="160" spans="1:10" s="12" customFormat="1">
      <c r="A160" s="20"/>
      <c r="F160" s="65"/>
      <c r="G160" s="65"/>
      <c r="H160" s="65"/>
      <c r="I160" s="65"/>
      <c r="J160" s="65"/>
    </row>
    <row r="161" spans="1:10" s="12" customFormat="1">
      <c r="A161" s="20"/>
      <c r="F161" s="65"/>
      <c r="G161" s="65"/>
      <c r="H161" s="65"/>
      <c r="I161" s="65"/>
      <c r="J161" s="65"/>
    </row>
    <row r="162" spans="1:10" s="12" customFormat="1">
      <c r="A162" s="20"/>
      <c r="F162" s="65"/>
      <c r="G162" s="65"/>
      <c r="H162" s="65"/>
      <c r="I162" s="65"/>
      <c r="J162" s="65"/>
    </row>
    <row r="163" spans="1:10" s="12" customFormat="1">
      <c r="A163" s="20"/>
      <c r="F163" s="65"/>
      <c r="G163" s="65"/>
      <c r="H163" s="65"/>
      <c r="I163" s="65"/>
      <c r="J163" s="65"/>
    </row>
    <row r="164" spans="1:10" s="12" customFormat="1">
      <c r="A164" s="20"/>
      <c r="F164" s="65"/>
      <c r="G164" s="65"/>
      <c r="H164" s="65"/>
      <c r="I164" s="65"/>
      <c r="J164" s="65"/>
    </row>
    <row r="165" spans="1:10" s="12" customFormat="1">
      <c r="A165" s="20"/>
      <c r="F165" s="65"/>
      <c r="G165" s="65"/>
      <c r="H165" s="65"/>
      <c r="I165" s="65"/>
      <c r="J165" s="65"/>
    </row>
    <row r="166" spans="1:10" s="12" customFormat="1">
      <c r="A166" s="20"/>
      <c r="F166" s="65"/>
      <c r="G166" s="65"/>
      <c r="H166" s="65"/>
      <c r="I166" s="65"/>
      <c r="J166" s="65"/>
    </row>
    <row r="167" spans="1:10" s="12" customFormat="1">
      <c r="A167" s="20"/>
      <c r="F167" s="65"/>
      <c r="G167" s="65"/>
      <c r="H167" s="65"/>
      <c r="I167" s="65"/>
      <c r="J167" s="65"/>
    </row>
    <row r="168" spans="1:10" s="12" customFormat="1">
      <c r="A168" s="20"/>
      <c r="F168" s="65"/>
      <c r="G168" s="65"/>
      <c r="H168" s="65"/>
      <c r="I168" s="65"/>
      <c r="J168" s="65"/>
    </row>
    <row r="169" spans="1:10" s="12" customFormat="1">
      <c r="A169" s="20"/>
      <c r="F169" s="65"/>
      <c r="G169" s="65"/>
      <c r="H169" s="65"/>
      <c r="I169" s="65"/>
      <c r="J169" s="65"/>
    </row>
    <row r="170" spans="1:10" s="12" customFormat="1">
      <c r="A170" s="20"/>
      <c r="F170" s="65"/>
      <c r="G170" s="65"/>
      <c r="H170" s="65"/>
      <c r="I170" s="65"/>
      <c r="J170" s="65"/>
    </row>
    <row r="171" spans="1:10" s="12" customFormat="1">
      <c r="A171" s="20"/>
      <c r="F171" s="65"/>
      <c r="G171" s="65"/>
      <c r="H171" s="65"/>
      <c r="I171" s="65"/>
      <c r="J171" s="65"/>
    </row>
    <row r="172" spans="1:10" s="12" customFormat="1">
      <c r="A172" s="20"/>
      <c r="F172" s="65"/>
      <c r="G172" s="65"/>
      <c r="H172" s="65"/>
      <c r="I172" s="65"/>
      <c r="J172" s="65"/>
    </row>
    <row r="173" spans="1:10" s="12" customFormat="1">
      <c r="A173" s="20"/>
      <c r="F173" s="65"/>
      <c r="G173" s="65"/>
      <c r="H173" s="65"/>
      <c r="I173" s="65"/>
      <c r="J173" s="65"/>
    </row>
    <row r="174" spans="1:10" s="12" customFormat="1">
      <c r="A174" s="20"/>
      <c r="F174" s="65"/>
      <c r="G174" s="65"/>
      <c r="H174" s="65"/>
      <c r="I174" s="65"/>
      <c r="J174" s="65"/>
    </row>
    <row r="175" spans="1:10" s="12" customFormat="1">
      <c r="A175" s="20"/>
      <c r="F175" s="65"/>
      <c r="G175" s="65"/>
      <c r="H175" s="65"/>
      <c r="I175" s="65"/>
      <c r="J175" s="65"/>
    </row>
    <row r="176" spans="1:10" s="12" customFormat="1">
      <c r="A176" s="20"/>
      <c r="F176" s="65"/>
      <c r="G176" s="65"/>
      <c r="H176" s="65"/>
      <c r="I176" s="65"/>
      <c r="J176" s="65"/>
    </row>
    <row r="177" spans="1:10" s="12" customFormat="1">
      <c r="A177" s="20"/>
      <c r="F177" s="65"/>
      <c r="G177" s="65"/>
      <c r="H177" s="65"/>
      <c r="I177" s="65"/>
      <c r="J177" s="65"/>
    </row>
    <row r="178" spans="1:10" s="12" customFormat="1">
      <c r="A178" s="20"/>
      <c r="F178" s="65"/>
      <c r="G178" s="65"/>
      <c r="H178" s="65"/>
      <c r="I178" s="65"/>
      <c r="J178" s="65"/>
    </row>
    <row r="179" spans="1:10" s="12" customFormat="1">
      <c r="A179" s="20"/>
      <c r="F179" s="65"/>
      <c r="G179" s="65"/>
      <c r="H179" s="65"/>
      <c r="I179" s="65"/>
      <c r="J179" s="65"/>
    </row>
    <row r="180" spans="1:10" s="12" customFormat="1">
      <c r="A180" s="20"/>
      <c r="F180" s="65"/>
      <c r="G180" s="65"/>
      <c r="H180" s="65"/>
      <c r="I180" s="65"/>
      <c r="J180" s="65"/>
    </row>
    <row r="181" spans="1:10" s="12" customFormat="1">
      <c r="A181" s="20"/>
      <c r="F181" s="65"/>
      <c r="G181" s="65"/>
      <c r="H181" s="65"/>
      <c r="I181" s="65"/>
      <c r="J181" s="65"/>
    </row>
    <row r="182" spans="1:10" s="12" customFormat="1">
      <c r="A182" s="20"/>
      <c r="F182" s="65"/>
      <c r="G182" s="65"/>
      <c r="H182" s="65"/>
      <c r="I182" s="65"/>
      <c r="J182" s="65"/>
    </row>
    <row r="183" spans="1:10" s="12" customFormat="1">
      <c r="A183" s="20"/>
      <c r="F183" s="65"/>
      <c r="G183" s="65"/>
      <c r="H183" s="65"/>
      <c r="I183" s="65"/>
      <c r="J183" s="65"/>
    </row>
    <row r="184" spans="1:10" s="12" customFormat="1">
      <c r="A184" s="20"/>
      <c r="F184" s="65"/>
      <c r="G184" s="65"/>
      <c r="H184" s="65"/>
      <c r="I184" s="65"/>
      <c r="J184" s="65"/>
    </row>
    <row r="185" spans="1:10" s="12" customFormat="1">
      <c r="A185" s="20"/>
      <c r="F185" s="65"/>
      <c r="G185" s="65"/>
      <c r="H185" s="65"/>
      <c r="I185" s="65"/>
      <c r="J185" s="65"/>
    </row>
    <row r="186" spans="1:10" s="12" customFormat="1">
      <c r="A186" s="20"/>
      <c r="F186" s="65"/>
      <c r="G186" s="65"/>
      <c r="H186" s="65"/>
      <c r="I186" s="65"/>
      <c r="J186" s="65"/>
    </row>
    <row r="187" spans="1:10" s="12" customFormat="1">
      <c r="A187" s="20"/>
      <c r="F187" s="65"/>
      <c r="G187" s="65"/>
      <c r="H187" s="65"/>
      <c r="I187" s="65"/>
      <c r="J187" s="65"/>
    </row>
    <row r="188" spans="1:10" s="12" customFormat="1">
      <c r="A188" s="20"/>
      <c r="F188" s="65"/>
      <c r="G188" s="65"/>
      <c r="H188" s="65"/>
      <c r="I188" s="65"/>
      <c r="J188" s="65"/>
    </row>
    <row r="189" spans="1:10" s="12" customFormat="1">
      <c r="A189" s="20"/>
      <c r="F189" s="65"/>
      <c r="G189" s="65"/>
      <c r="H189" s="65"/>
      <c r="I189" s="65"/>
      <c r="J189" s="65"/>
    </row>
    <row r="190" spans="1:10" s="12" customFormat="1">
      <c r="A190" s="20"/>
      <c r="F190" s="65"/>
      <c r="G190" s="65"/>
      <c r="H190" s="65"/>
      <c r="I190" s="65"/>
      <c r="J190" s="65"/>
    </row>
    <row r="191" spans="1:10" s="12" customFormat="1">
      <c r="A191" s="20"/>
      <c r="F191" s="65"/>
      <c r="G191" s="65"/>
      <c r="H191" s="65"/>
      <c r="I191" s="65"/>
      <c r="J191" s="65"/>
    </row>
    <row r="192" spans="1:10" s="12" customFormat="1">
      <c r="A192" s="20"/>
      <c r="F192" s="65"/>
      <c r="G192" s="65"/>
      <c r="H192" s="65"/>
      <c r="I192" s="65"/>
      <c r="J192" s="65"/>
    </row>
    <row r="193" spans="1:10" s="12" customFormat="1">
      <c r="A193" s="20"/>
      <c r="F193" s="65"/>
      <c r="G193" s="65"/>
      <c r="H193" s="65"/>
      <c r="I193" s="65"/>
      <c r="J193" s="65"/>
    </row>
    <row r="194" spans="1:10" s="12" customFormat="1">
      <c r="A194" s="20"/>
      <c r="F194" s="65"/>
      <c r="G194" s="65"/>
      <c r="H194" s="65"/>
      <c r="I194" s="65"/>
      <c r="J194" s="65"/>
    </row>
    <row r="195" spans="1:10" s="12" customFormat="1">
      <c r="A195" s="20"/>
      <c r="F195" s="65"/>
      <c r="G195" s="65"/>
      <c r="H195" s="65"/>
      <c r="I195" s="65"/>
      <c r="J195" s="65"/>
    </row>
    <row r="196" spans="1:10" s="12" customFormat="1">
      <c r="A196" s="20"/>
      <c r="F196" s="65"/>
      <c r="G196" s="65"/>
      <c r="H196" s="65"/>
      <c r="I196" s="65"/>
      <c r="J196" s="65"/>
    </row>
    <row r="197" spans="1:10" s="12" customFormat="1">
      <c r="A197" s="20"/>
      <c r="F197" s="65"/>
      <c r="G197" s="65"/>
      <c r="H197" s="65"/>
      <c r="I197" s="65"/>
      <c r="J197" s="65"/>
    </row>
    <row r="198" spans="1:10" s="12" customFormat="1">
      <c r="A198" s="20"/>
      <c r="F198" s="65"/>
      <c r="G198" s="65"/>
      <c r="H198" s="65"/>
      <c r="I198" s="65"/>
      <c r="J198" s="65"/>
    </row>
    <row r="199" spans="1:10" s="12" customFormat="1">
      <c r="A199" s="20"/>
      <c r="F199" s="65"/>
      <c r="G199" s="65"/>
      <c r="H199" s="65"/>
      <c r="I199" s="65"/>
      <c r="J199" s="65"/>
    </row>
    <row r="200" spans="1:10" s="12" customFormat="1">
      <c r="A200" s="20"/>
      <c r="F200" s="65"/>
      <c r="G200" s="65"/>
      <c r="H200" s="65"/>
      <c r="I200" s="65"/>
      <c r="J200" s="65"/>
    </row>
    <row r="201" spans="1:10" s="12" customFormat="1">
      <c r="A201" s="20"/>
      <c r="F201" s="65"/>
      <c r="G201" s="65"/>
      <c r="H201" s="65"/>
      <c r="I201" s="65"/>
      <c r="J201" s="65"/>
    </row>
    <row r="202" spans="1:10" s="12" customFormat="1">
      <c r="A202" s="20"/>
      <c r="F202" s="65"/>
      <c r="G202" s="65"/>
      <c r="H202" s="65"/>
      <c r="I202" s="65"/>
      <c r="J202" s="65"/>
    </row>
    <row r="203" spans="1:10" s="12" customFormat="1">
      <c r="A203" s="20"/>
      <c r="F203" s="65"/>
      <c r="G203" s="65"/>
      <c r="H203" s="65"/>
      <c r="I203" s="65"/>
      <c r="J203" s="65"/>
    </row>
    <row r="204" spans="1:10" s="12" customFormat="1">
      <c r="A204" s="20"/>
      <c r="F204" s="65"/>
      <c r="G204" s="65"/>
      <c r="H204" s="65"/>
      <c r="I204" s="65"/>
      <c r="J204" s="65"/>
    </row>
    <row r="205" spans="1:10" s="12" customFormat="1">
      <c r="A205" s="20"/>
      <c r="F205" s="65"/>
      <c r="G205" s="65"/>
      <c r="H205" s="65"/>
      <c r="I205" s="65"/>
      <c r="J205" s="65"/>
    </row>
    <row r="206" spans="1:10" s="12" customFormat="1">
      <c r="A206" s="20"/>
      <c r="F206" s="65"/>
      <c r="G206" s="65"/>
      <c r="H206" s="65"/>
      <c r="I206" s="65"/>
      <c r="J206" s="65"/>
    </row>
    <row r="207" spans="1:10" s="12" customFormat="1">
      <c r="A207" s="20"/>
      <c r="F207" s="65"/>
      <c r="G207" s="65"/>
      <c r="H207" s="65"/>
      <c r="I207" s="65"/>
      <c r="J207" s="65"/>
    </row>
    <row r="208" spans="1:10" s="12" customFormat="1">
      <c r="A208" s="20"/>
      <c r="F208" s="65"/>
      <c r="G208" s="65"/>
      <c r="H208" s="65"/>
      <c r="I208" s="65"/>
      <c r="J208" s="65"/>
    </row>
    <row r="209" spans="1:10" s="12" customFormat="1">
      <c r="A209" s="20"/>
      <c r="F209" s="65"/>
      <c r="G209" s="65"/>
      <c r="H209" s="65"/>
      <c r="I209" s="65"/>
      <c r="J209" s="65"/>
    </row>
    <row r="210" spans="1:10" s="12" customFormat="1">
      <c r="A210" s="20"/>
      <c r="F210" s="65"/>
      <c r="G210" s="65"/>
      <c r="H210" s="65"/>
      <c r="I210" s="65"/>
      <c r="J210" s="65"/>
    </row>
    <row r="211" spans="1:10" s="12" customFormat="1">
      <c r="A211" s="20"/>
      <c r="F211" s="65"/>
      <c r="G211" s="65"/>
      <c r="H211" s="65"/>
      <c r="I211" s="65"/>
      <c r="J211" s="65"/>
    </row>
    <row r="212" spans="1:10" s="12" customFormat="1">
      <c r="A212" s="20"/>
      <c r="F212" s="65"/>
      <c r="G212" s="65"/>
      <c r="H212" s="65"/>
      <c r="I212" s="65"/>
      <c r="J212" s="65"/>
    </row>
    <row r="213" spans="1:10" s="12" customFormat="1">
      <c r="A213" s="20"/>
      <c r="F213" s="65"/>
      <c r="G213" s="65"/>
      <c r="H213" s="65"/>
      <c r="I213" s="65"/>
      <c r="J213" s="65"/>
    </row>
    <row r="214" spans="1:10" s="12" customFormat="1">
      <c r="A214" s="20"/>
      <c r="F214" s="65"/>
      <c r="G214" s="65"/>
      <c r="H214" s="65"/>
      <c r="I214" s="65"/>
      <c r="J214" s="65"/>
    </row>
    <row r="215" spans="1:10" s="12" customFormat="1">
      <c r="A215" s="20"/>
      <c r="F215" s="65"/>
      <c r="G215" s="65"/>
      <c r="H215" s="65"/>
      <c r="I215" s="65"/>
      <c r="J215" s="65"/>
    </row>
    <row r="216" spans="1:10" s="12" customFormat="1">
      <c r="A216" s="20"/>
      <c r="F216" s="65"/>
      <c r="G216" s="65"/>
      <c r="H216" s="65"/>
      <c r="I216" s="65"/>
      <c r="J216" s="65"/>
    </row>
    <row r="217" spans="1:10" s="12" customFormat="1">
      <c r="A217" s="20"/>
      <c r="F217" s="65"/>
      <c r="G217" s="65"/>
      <c r="H217" s="65"/>
      <c r="I217" s="65"/>
      <c r="J217" s="65"/>
    </row>
    <row r="218" spans="1:10" s="12" customFormat="1">
      <c r="A218" s="20"/>
      <c r="F218" s="65"/>
      <c r="G218" s="65"/>
      <c r="H218" s="65"/>
      <c r="I218" s="65"/>
      <c r="J218" s="65"/>
    </row>
    <row r="219" spans="1:10" s="12" customFormat="1">
      <c r="A219" s="20"/>
      <c r="F219" s="65"/>
      <c r="G219" s="65"/>
      <c r="H219" s="65"/>
      <c r="I219" s="65"/>
      <c r="J219" s="65"/>
    </row>
    <row r="220" spans="1:10" s="12" customFormat="1">
      <c r="A220" s="20"/>
      <c r="F220" s="65"/>
      <c r="G220" s="65"/>
      <c r="H220" s="65"/>
      <c r="I220" s="65"/>
      <c r="J220" s="65"/>
    </row>
    <row r="221" spans="1:10" s="12" customFormat="1">
      <c r="A221" s="20"/>
      <c r="F221" s="65"/>
      <c r="G221" s="65"/>
      <c r="H221" s="65"/>
      <c r="I221" s="65"/>
      <c r="J221" s="65"/>
    </row>
    <row r="222" spans="1:10" s="12" customFormat="1">
      <c r="A222" s="20"/>
      <c r="F222" s="65"/>
      <c r="G222" s="65"/>
      <c r="H222" s="65"/>
      <c r="I222" s="65"/>
      <c r="J222" s="65"/>
    </row>
  </sheetData>
  <mergeCells count="25">
    <mergeCell ref="C53:F53"/>
    <mergeCell ref="H53:J53"/>
    <mergeCell ref="A13:A14"/>
    <mergeCell ref="B13:B14"/>
    <mergeCell ref="F13:F14"/>
    <mergeCell ref="G13:J13"/>
    <mergeCell ref="C52:F52"/>
    <mergeCell ref="H52:J52"/>
    <mergeCell ref="A47:J47"/>
    <mergeCell ref="A16:J16"/>
    <mergeCell ref="C13:C14"/>
    <mergeCell ref="A40:J40"/>
    <mergeCell ref="A32:J32"/>
    <mergeCell ref="A49:J49"/>
    <mergeCell ref="E13:E14"/>
    <mergeCell ref="D13:D14"/>
    <mergeCell ref="A9:J9"/>
    <mergeCell ref="A8:J8"/>
    <mergeCell ref="A11:J11"/>
    <mergeCell ref="A7:J7"/>
    <mergeCell ref="G1:J1"/>
    <mergeCell ref="G2:J2"/>
    <mergeCell ref="G3:J3"/>
    <mergeCell ref="G4:J4"/>
    <mergeCell ref="G5:J5"/>
  </mergeCells>
  <phoneticPr fontId="3" type="noConversion"/>
  <pageMargins left="0.70866141732283472" right="0.31496062992125984" top="0.74803149606299213" bottom="0.74803149606299213" header="0.31496062992125984" footer="0.31496062992125984"/>
  <pageSetup paperSize="9" scale="48" orientation="portrait" r:id="rId1"/>
  <headerFooter alignWithMargins="0">
    <oddHeader xml:space="preserve">&amp;C
</oddHeader>
    <oddFooter xml:space="preserve">&amp;C&amp;P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99FF66"/>
  </sheetPr>
  <dimension ref="A2:J357"/>
  <sheetViews>
    <sheetView view="pageBreakPreview" topLeftCell="A28" zoomScale="70" zoomScaleNormal="60" zoomScaleSheetLayoutView="70" zoomScalePageLayoutView="55" workbookViewId="0">
      <selection activeCell="A41" sqref="A41:J41"/>
    </sheetView>
  </sheetViews>
  <sheetFormatPr defaultRowHeight="18.75"/>
  <cols>
    <col min="1" max="1" width="70" style="65" customWidth="1"/>
    <col min="2" max="2" width="12" style="12" customWidth="1"/>
    <col min="3" max="5" width="16.28515625" style="12" customWidth="1"/>
    <col min="6" max="6" width="16.28515625" style="65" customWidth="1"/>
    <col min="7" max="10" width="15.28515625" style="65" bestFit="1" customWidth="1"/>
    <col min="11" max="12" width="9.140625" style="65"/>
    <col min="13" max="13" width="32.7109375" style="65" customWidth="1"/>
    <col min="14" max="16384" width="9.140625" style="65"/>
  </cols>
  <sheetData>
    <row r="2" spans="1:10">
      <c r="A2" s="282" t="s">
        <v>185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>
      <c r="A3" s="244"/>
      <c r="B3" s="106"/>
      <c r="C3" s="244"/>
      <c r="D3" s="244"/>
      <c r="E3" s="244"/>
      <c r="F3" s="244"/>
      <c r="G3" s="244"/>
      <c r="H3" s="244"/>
      <c r="I3" s="244"/>
      <c r="J3" s="83" t="s">
        <v>507</v>
      </c>
    </row>
    <row r="4" spans="1:10" ht="36" customHeight="1">
      <c r="A4" s="269" t="s">
        <v>182</v>
      </c>
      <c r="B4" s="270" t="s">
        <v>5</v>
      </c>
      <c r="C4" s="271" t="s">
        <v>580</v>
      </c>
      <c r="D4" s="271" t="s">
        <v>598</v>
      </c>
      <c r="E4" s="271" t="s">
        <v>656</v>
      </c>
      <c r="F4" s="271" t="s">
        <v>599</v>
      </c>
      <c r="G4" s="270" t="s">
        <v>256</v>
      </c>
      <c r="H4" s="270"/>
      <c r="I4" s="270"/>
      <c r="J4" s="270"/>
    </row>
    <row r="5" spans="1:10" ht="61.5" customHeight="1">
      <c r="A5" s="269"/>
      <c r="B5" s="270"/>
      <c r="C5" s="272" t="s">
        <v>396</v>
      </c>
      <c r="D5" s="272"/>
      <c r="E5" s="272" t="s">
        <v>395</v>
      </c>
      <c r="F5" s="272" t="s">
        <v>394</v>
      </c>
      <c r="G5" s="71" t="s">
        <v>140</v>
      </c>
      <c r="H5" s="71" t="s">
        <v>141</v>
      </c>
      <c r="I5" s="71" t="s">
        <v>142</v>
      </c>
      <c r="J5" s="71" t="s">
        <v>54</v>
      </c>
    </row>
    <row r="6" spans="1:10" ht="18" customHeight="1">
      <c r="A6" s="238">
        <v>1</v>
      </c>
      <c r="B6" s="239">
        <v>2</v>
      </c>
      <c r="C6" s="239">
        <v>3</v>
      </c>
      <c r="D6" s="239">
        <v>4</v>
      </c>
      <c r="E6" s="239">
        <v>5</v>
      </c>
      <c r="F6" s="239">
        <v>6</v>
      </c>
      <c r="G6" s="239">
        <v>7</v>
      </c>
      <c r="H6" s="239">
        <v>8</v>
      </c>
      <c r="I6" s="239">
        <v>9</v>
      </c>
      <c r="J6" s="239">
        <v>10</v>
      </c>
    </row>
    <row r="7" spans="1:10" s="107" customFormat="1" ht="20.100000000000001" customHeight="1">
      <c r="A7" s="283" t="s">
        <v>212</v>
      </c>
      <c r="B7" s="283"/>
      <c r="C7" s="283"/>
      <c r="D7" s="283"/>
      <c r="E7" s="283"/>
      <c r="F7" s="283"/>
      <c r="G7" s="283"/>
      <c r="H7" s="283"/>
      <c r="I7" s="283"/>
      <c r="J7" s="283"/>
    </row>
    <row r="8" spans="1:10" s="107" customFormat="1" ht="36.75" customHeight="1">
      <c r="A8" s="245" t="s">
        <v>213</v>
      </c>
      <c r="B8" s="242">
        <v>1000</v>
      </c>
      <c r="C8" s="195">
        <f>C14*1.2</f>
        <v>31336.799999999999</v>
      </c>
      <c r="D8" s="195">
        <v>35335</v>
      </c>
      <c r="E8" s="250">
        <f>E14*1.2</f>
        <v>37780.799999999996</v>
      </c>
      <c r="F8" s="251">
        <f>SUM(G8:J8)</f>
        <v>41143.199999999997</v>
      </c>
      <c r="G8" s="251">
        <f>G14*1.2</f>
        <v>10285.799999999999</v>
      </c>
      <c r="H8" s="251">
        <f t="shared" ref="H8:J8" si="0">H14*1.2</f>
        <v>10285.799999999999</v>
      </c>
      <c r="I8" s="251">
        <f t="shared" si="0"/>
        <v>10285.799999999999</v>
      </c>
      <c r="J8" s="251">
        <f t="shared" si="0"/>
        <v>10285.799999999999</v>
      </c>
    </row>
    <row r="9" spans="1:10" s="107" customFormat="1" ht="20.100000000000001" customHeight="1">
      <c r="A9" s="84" t="s">
        <v>216</v>
      </c>
      <c r="B9" s="239">
        <v>1010</v>
      </c>
      <c r="C9" s="196">
        <f>C8-C11-C10</f>
        <v>24443.199999999997</v>
      </c>
      <c r="D9" s="197">
        <v>28557.200000000001</v>
      </c>
      <c r="E9" s="198">
        <f>E8-E10-E11</f>
        <v>29002.999999999996</v>
      </c>
      <c r="F9" s="197">
        <f>SUM(G9:J9)</f>
        <v>31269.199999999997</v>
      </c>
      <c r="G9" s="196">
        <f>G8-G10-G11</f>
        <v>7817.2999999999993</v>
      </c>
      <c r="H9" s="196">
        <f t="shared" ref="H9:J9" si="1">H8-H10-H11</f>
        <v>7817.2999999999993</v>
      </c>
      <c r="I9" s="196">
        <f t="shared" si="1"/>
        <v>7817.2999999999993</v>
      </c>
      <c r="J9" s="196">
        <f t="shared" si="1"/>
        <v>7817.2999999999993</v>
      </c>
    </row>
    <row r="10" spans="1:10" s="107" customFormat="1" ht="20.100000000000001" customHeight="1">
      <c r="A10" s="84" t="s">
        <v>217</v>
      </c>
      <c r="B10" s="239">
        <v>1011</v>
      </c>
      <c r="C10" s="85">
        <v>6695.1</v>
      </c>
      <c r="D10" s="197">
        <v>6000</v>
      </c>
      <c r="E10" s="199">
        <v>8000</v>
      </c>
      <c r="F10" s="197">
        <v>8800</v>
      </c>
      <c r="G10" s="195">
        <f>F10/4</f>
        <v>2200</v>
      </c>
      <c r="H10" s="195">
        <f>G10</f>
        <v>2200</v>
      </c>
      <c r="I10" s="195">
        <f>G10</f>
        <v>2200</v>
      </c>
      <c r="J10" s="195">
        <f>G10</f>
        <v>2200</v>
      </c>
    </row>
    <row r="11" spans="1:10" s="107" customFormat="1" ht="20.100000000000001" customHeight="1">
      <c r="A11" s="84" t="s">
        <v>218</v>
      </c>
      <c r="B11" s="239">
        <v>1012</v>
      </c>
      <c r="C11" s="85">
        <v>198.5</v>
      </c>
      <c r="D11" s="197">
        <v>777.8</v>
      </c>
      <c r="E11" s="198">
        <v>777.8</v>
      </c>
      <c r="F11" s="197">
        <f>SUM(G11:J11)</f>
        <v>1074</v>
      </c>
      <c r="G11" s="196">
        <f>G18</f>
        <v>268.5</v>
      </c>
      <c r="H11" s="196">
        <f t="shared" ref="H11:J11" si="2">H18</f>
        <v>268.5</v>
      </c>
      <c r="I11" s="196">
        <f t="shared" si="2"/>
        <v>268.5</v>
      </c>
      <c r="J11" s="196">
        <f t="shared" si="2"/>
        <v>268.5</v>
      </c>
    </row>
    <row r="12" spans="1:10" s="107" customFormat="1">
      <c r="A12" s="84" t="s">
        <v>214</v>
      </c>
      <c r="B12" s="239">
        <v>1020</v>
      </c>
      <c r="C12" s="196">
        <f>C8/6</f>
        <v>5222.8</v>
      </c>
      <c r="D12" s="198">
        <f>D8/6</f>
        <v>5889.166666666667</v>
      </c>
      <c r="E12" s="198">
        <f>E8/6</f>
        <v>6296.7999999999993</v>
      </c>
      <c r="F12" s="198">
        <f>SUM(G12:J12)</f>
        <v>6857.2</v>
      </c>
      <c r="G12" s="197">
        <f>G8/6</f>
        <v>1714.3</v>
      </c>
      <c r="H12" s="197">
        <f t="shared" ref="H12:J12" si="3">H8/6</f>
        <v>1714.3</v>
      </c>
      <c r="I12" s="197">
        <f t="shared" si="3"/>
        <v>1714.3</v>
      </c>
      <c r="J12" s="197">
        <f t="shared" si="3"/>
        <v>1714.3</v>
      </c>
    </row>
    <row r="13" spans="1:10" s="107" customFormat="1" ht="20.100000000000001" customHeight="1">
      <c r="A13" s="84" t="s">
        <v>215</v>
      </c>
      <c r="B13" s="239">
        <v>1030</v>
      </c>
      <c r="C13" s="197">
        <v>0</v>
      </c>
      <c r="D13" s="197">
        <v>0</v>
      </c>
      <c r="E13" s="197">
        <v>0</v>
      </c>
      <c r="F13" s="197">
        <v>0</v>
      </c>
      <c r="G13" s="197">
        <v>0</v>
      </c>
      <c r="H13" s="197">
        <v>0</v>
      </c>
      <c r="I13" s="197">
        <v>0</v>
      </c>
      <c r="J13" s="197">
        <v>0</v>
      </c>
    </row>
    <row r="14" spans="1:10" s="107" customFormat="1" ht="37.5">
      <c r="A14" s="245" t="s">
        <v>505</v>
      </c>
      <c r="B14" s="6">
        <v>1040</v>
      </c>
      <c r="C14" s="195">
        <v>26114</v>
      </c>
      <c r="D14" s="195">
        <f>SUM(D15:D18)</f>
        <v>29445.8</v>
      </c>
      <c r="E14" s="200">
        <f>15742*2</f>
        <v>31484</v>
      </c>
      <c r="F14" s="195">
        <f>SUM(F15:F18)</f>
        <v>34286</v>
      </c>
      <c r="G14" s="195">
        <f>SUM(G15:G18)</f>
        <v>8571.5</v>
      </c>
      <c r="H14" s="195">
        <f t="shared" ref="H14:J14" si="4">SUM(H15:H18)</f>
        <v>8571.5</v>
      </c>
      <c r="I14" s="195">
        <f t="shared" si="4"/>
        <v>8571.5</v>
      </c>
      <c r="J14" s="195">
        <f t="shared" si="4"/>
        <v>8571.5</v>
      </c>
    </row>
    <row r="15" spans="1:10" s="107" customFormat="1" ht="19.5">
      <c r="A15" s="86" t="s">
        <v>448</v>
      </c>
      <c r="B15" s="243" t="s">
        <v>533</v>
      </c>
      <c r="C15" s="195">
        <f>C14-C16-C17-C18</f>
        <v>24740.799999999999</v>
      </c>
      <c r="D15" s="195">
        <v>27680</v>
      </c>
      <c r="E15" s="200">
        <f>E14-E16-E17-E18</f>
        <v>29426.2</v>
      </c>
      <c r="F15" s="195">
        <v>32008</v>
      </c>
      <c r="G15" s="195">
        <f>F15/4</f>
        <v>8002</v>
      </c>
      <c r="H15" s="195">
        <f>G15</f>
        <v>8002</v>
      </c>
      <c r="I15" s="195">
        <f>G15</f>
        <v>8002</v>
      </c>
      <c r="J15" s="195">
        <f>G15</f>
        <v>8002</v>
      </c>
    </row>
    <row r="16" spans="1:10" s="107" customFormat="1" ht="19.5">
      <c r="A16" s="86" t="s">
        <v>449</v>
      </c>
      <c r="B16" s="243" t="s">
        <v>534</v>
      </c>
      <c r="C16" s="195">
        <v>794.5</v>
      </c>
      <c r="D16" s="195">
        <v>508</v>
      </c>
      <c r="E16" s="200">
        <v>800</v>
      </c>
      <c r="F16" s="195">
        <v>724</v>
      </c>
      <c r="G16" s="195">
        <f>F16/4</f>
        <v>181</v>
      </c>
      <c r="H16" s="195">
        <f>G16</f>
        <v>181</v>
      </c>
      <c r="I16" s="195">
        <f>G16</f>
        <v>181</v>
      </c>
      <c r="J16" s="195">
        <f>G16</f>
        <v>181</v>
      </c>
    </row>
    <row r="17" spans="1:10" s="107" customFormat="1" ht="19.5">
      <c r="A17" s="86" t="s">
        <v>450</v>
      </c>
      <c r="B17" s="243" t="s">
        <v>535</v>
      </c>
      <c r="C17" s="195">
        <v>380.2</v>
      </c>
      <c r="D17" s="195">
        <v>480</v>
      </c>
      <c r="E17" s="200">
        <v>480</v>
      </c>
      <c r="F17" s="195">
        <f t="shared" ref="F17" si="5">SUM(G17:J17)</f>
        <v>480</v>
      </c>
      <c r="G17" s="195">
        <v>120</v>
      </c>
      <c r="H17" s="195">
        <v>120</v>
      </c>
      <c r="I17" s="195">
        <v>120</v>
      </c>
      <c r="J17" s="195">
        <v>120</v>
      </c>
    </row>
    <row r="18" spans="1:10" s="107" customFormat="1" ht="19.5">
      <c r="A18" s="86" t="s">
        <v>451</v>
      </c>
      <c r="B18" s="243" t="s">
        <v>536</v>
      </c>
      <c r="C18" s="195">
        <v>198.5</v>
      </c>
      <c r="D18" s="195">
        <v>777.8</v>
      </c>
      <c r="E18" s="200">
        <v>777.8</v>
      </c>
      <c r="F18" s="195">
        <f>'Вих дані'!M11</f>
        <v>1074</v>
      </c>
      <c r="G18" s="195">
        <f>F18/4</f>
        <v>268.5</v>
      </c>
      <c r="H18" s="195">
        <f>G18</f>
        <v>268.5</v>
      </c>
      <c r="I18" s="195">
        <f>G18</f>
        <v>268.5</v>
      </c>
      <c r="J18" s="195">
        <f>G18</f>
        <v>268.5</v>
      </c>
    </row>
    <row r="19" spans="1:10" ht="37.5" customHeight="1">
      <c r="A19" s="245" t="s">
        <v>506</v>
      </c>
      <c r="B19" s="6">
        <v>1050</v>
      </c>
      <c r="C19" s="201">
        <v>23745</v>
      </c>
      <c r="D19" s="201">
        <v>26800</v>
      </c>
      <c r="E19" s="202">
        <f>SUM(E25:E28,E30:E34)</f>
        <v>28486</v>
      </c>
      <c r="F19" s="201">
        <f>SUM(F25:F28,F30,F32:F34)</f>
        <v>30617.600000000002</v>
      </c>
      <c r="G19" s="201">
        <f>SUM(G25:G28,G30,G32:G34)</f>
        <v>7654.4000000000005</v>
      </c>
      <c r="H19" s="201">
        <f t="shared" ref="H19:J19" si="6">SUM(H25:H28,H30,H32:H34)</f>
        <v>7654.4000000000005</v>
      </c>
      <c r="I19" s="201">
        <f t="shared" si="6"/>
        <v>7654.4000000000005</v>
      </c>
      <c r="J19" s="201">
        <f t="shared" si="6"/>
        <v>7654.4000000000005</v>
      </c>
    </row>
    <row r="20" spans="1:10" ht="19.5">
      <c r="A20" s="86" t="s">
        <v>448</v>
      </c>
      <c r="B20" s="243" t="s">
        <v>537</v>
      </c>
      <c r="C20" s="201">
        <f>C19-C21-C22-C23-C24</f>
        <v>21852.1</v>
      </c>
      <c r="D20" s="201">
        <v>24966.2</v>
      </c>
      <c r="E20" s="202">
        <f>E19-E21-E22-E23</f>
        <v>26228.2</v>
      </c>
      <c r="F20" s="201">
        <f>SUM(G20:J20)</f>
        <v>28375.600000000002</v>
      </c>
      <c r="G20" s="201">
        <f>G19-G21-G22-G23</f>
        <v>7093.9000000000005</v>
      </c>
      <c r="H20" s="201">
        <f t="shared" ref="H20:J20" si="7">H19-H21-H22-H23</f>
        <v>7093.9000000000005</v>
      </c>
      <c r="I20" s="201">
        <f t="shared" si="7"/>
        <v>7093.9000000000005</v>
      </c>
      <c r="J20" s="201">
        <f t="shared" si="7"/>
        <v>7093.9000000000005</v>
      </c>
    </row>
    <row r="21" spans="1:10" ht="19.5">
      <c r="A21" s="86" t="s">
        <v>449</v>
      </c>
      <c r="B21" s="243" t="s">
        <v>538</v>
      </c>
      <c r="C21" s="201">
        <v>835.8</v>
      </c>
      <c r="D21" s="201">
        <v>596</v>
      </c>
      <c r="E21" s="202">
        <v>1020</v>
      </c>
      <c r="F21" s="201">
        <v>728</v>
      </c>
      <c r="G21" s="195">
        <f>F21/4</f>
        <v>182</v>
      </c>
      <c r="H21" s="195">
        <f>G21</f>
        <v>182</v>
      </c>
      <c r="I21" s="195">
        <f>G21</f>
        <v>182</v>
      </c>
      <c r="J21" s="195">
        <f>G21</f>
        <v>182</v>
      </c>
    </row>
    <row r="22" spans="1:10" ht="19.5">
      <c r="A22" s="86" t="s">
        <v>450</v>
      </c>
      <c r="B22" s="243" t="s">
        <v>539</v>
      </c>
      <c r="C22" s="201">
        <v>487</v>
      </c>
      <c r="D22" s="201">
        <v>460</v>
      </c>
      <c r="E22" s="202">
        <v>460</v>
      </c>
      <c r="F22" s="201">
        <v>440</v>
      </c>
      <c r="G22" s="195">
        <f>F22/4</f>
        <v>110</v>
      </c>
      <c r="H22" s="195">
        <f>G22</f>
        <v>110</v>
      </c>
      <c r="I22" s="195">
        <f>G22</f>
        <v>110</v>
      </c>
      <c r="J22" s="195">
        <f>G22</f>
        <v>110</v>
      </c>
    </row>
    <row r="23" spans="1:10" ht="19.5">
      <c r="A23" s="86" t="s">
        <v>451</v>
      </c>
      <c r="B23" s="243" t="s">
        <v>540</v>
      </c>
      <c r="C23" s="201">
        <v>480.4</v>
      </c>
      <c r="D23" s="201">
        <v>777.8</v>
      </c>
      <c r="E23" s="202">
        <v>777.8</v>
      </c>
      <c r="F23" s="201">
        <f>SUM(G23:J23)</f>
        <v>1074</v>
      </c>
      <c r="G23" s="201">
        <f>G18</f>
        <v>268.5</v>
      </c>
      <c r="H23" s="201">
        <f t="shared" ref="H23:J23" si="8">H18</f>
        <v>268.5</v>
      </c>
      <c r="I23" s="201">
        <f t="shared" si="8"/>
        <v>268.5</v>
      </c>
      <c r="J23" s="201">
        <f t="shared" si="8"/>
        <v>268.5</v>
      </c>
    </row>
    <row r="24" spans="1:10" ht="58.5">
      <c r="A24" s="86" t="s">
        <v>600</v>
      </c>
      <c r="B24" s="243" t="s">
        <v>601</v>
      </c>
      <c r="C24" s="201">
        <v>89.7</v>
      </c>
      <c r="D24" s="201">
        <v>0</v>
      </c>
      <c r="E24" s="201">
        <v>0</v>
      </c>
      <c r="F24" s="201">
        <v>0</v>
      </c>
      <c r="G24" s="201">
        <v>0</v>
      </c>
      <c r="H24" s="201">
        <v>0</v>
      </c>
      <c r="I24" s="201">
        <v>0</v>
      </c>
      <c r="J24" s="201">
        <v>0</v>
      </c>
    </row>
    <row r="25" spans="1:10" s="2" customFormat="1" ht="20.100000000000001" customHeight="1">
      <c r="A25" s="4" t="s">
        <v>551</v>
      </c>
      <c r="B25" s="5">
        <v>1051</v>
      </c>
      <c r="C25" s="196">
        <v>371</v>
      </c>
      <c r="D25" s="196">
        <v>440</v>
      </c>
      <c r="E25" s="198">
        <v>440</v>
      </c>
      <c r="F25" s="196">
        <v>480</v>
      </c>
      <c r="G25" s="196">
        <f t="shared" ref="G25:G29" si="9">F25/4</f>
        <v>120</v>
      </c>
      <c r="H25" s="196">
        <f t="shared" ref="H25:H29" si="10">G25</f>
        <v>120</v>
      </c>
      <c r="I25" s="196">
        <f t="shared" ref="I25:I29" si="11">G25</f>
        <v>120</v>
      </c>
      <c r="J25" s="196">
        <f t="shared" ref="J25:J29" si="12">G25</f>
        <v>120</v>
      </c>
    </row>
    <row r="26" spans="1:10" s="2" customFormat="1" ht="20.100000000000001" customHeight="1">
      <c r="A26" s="4" t="s">
        <v>47</v>
      </c>
      <c r="B26" s="5">
        <v>1052</v>
      </c>
      <c r="C26" s="196">
        <v>1314</v>
      </c>
      <c r="D26" s="196">
        <v>1800</v>
      </c>
      <c r="E26" s="198">
        <v>1524</v>
      </c>
      <c r="F26" s="196">
        <v>1800</v>
      </c>
      <c r="G26" s="196">
        <f t="shared" si="9"/>
        <v>450</v>
      </c>
      <c r="H26" s="196">
        <f t="shared" si="10"/>
        <v>450</v>
      </c>
      <c r="I26" s="196">
        <f t="shared" si="11"/>
        <v>450</v>
      </c>
      <c r="J26" s="196">
        <f t="shared" si="12"/>
        <v>450</v>
      </c>
    </row>
    <row r="27" spans="1:10" s="2" customFormat="1" ht="20.100000000000001" customHeight="1">
      <c r="A27" s="4" t="s">
        <v>46</v>
      </c>
      <c r="B27" s="5">
        <v>1053</v>
      </c>
      <c r="C27" s="196">
        <v>113</v>
      </c>
      <c r="D27" s="196">
        <v>200</v>
      </c>
      <c r="E27" s="198">
        <v>162</v>
      </c>
      <c r="F27" s="196">
        <v>186</v>
      </c>
      <c r="G27" s="196">
        <f t="shared" si="9"/>
        <v>46.5</v>
      </c>
      <c r="H27" s="196">
        <f t="shared" si="10"/>
        <v>46.5</v>
      </c>
      <c r="I27" s="196">
        <f t="shared" si="11"/>
        <v>46.5</v>
      </c>
      <c r="J27" s="196">
        <f t="shared" si="12"/>
        <v>46.5</v>
      </c>
    </row>
    <row r="28" spans="1:10" s="2" customFormat="1" ht="20.100000000000001" customHeight="1">
      <c r="A28" s="4" t="s">
        <v>610</v>
      </c>
      <c r="B28" s="5">
        <v>1054</v>
      </c>
      <c r="C28" s="196">
        <v>2105</v>
      </c>
      <c r="D28" s="196">
        <v>2440</v>
      </c>
      <c r="E28" s="198">
        <v>2440</v>
      </c>
      <c r="F28" s="196">
        <v>2360</v>
      </c>
      <c r="G28" s="196">
        <f t="shared" si="9"/>
        <v>590</v>
      </c>
      <c r="H28" s="196">
        <f t="shared" si="10"/>
        <v>590</v>
      </c>
      <c r="I28" s="196">
        <f t="shared" si="11"/>
        <v>590</v>
      </c>
      <c r="J28" s="196">
        <f t="shared" si="12"/>
        <v>590</v>
      </c>
    </row>
    <row r="29" spans="1:10" s="2" customFormat="1" ht="20.100000000000001" customHeight="1">
      <c r="A29" s="203" t="s">
        <v>611</v>
      </c>
      <c r="B29" s="238" t="s">
        <v>612</v>
      </c>
      <c r="C29" s="196">
        <v>0</v>
      </c>
      <c r="D29" s="196">
        <v>0</v>
      </c>
      <c r="E29" s="198">
        <v>206</v>
      </c>
      <c r="F29" s="263">
        <f>'Вих дані'!M7</f>
        <v>333.2</v>
      </c>
      <c r="G29" s="263">
        <f t="shared" si="9"/>
        <v>83.3</v>
      </c>
      <c r="H29" s="263">
        <f t="shared" si="10"/>
        <v>83.3</v>
      </c>
      <c r="I29" s="263">
        <f t="shared" si="11"/>
        <v>83.3</v>
      </c>
      <c r="J29" s="263">
        <f t="shared" si="12"/>
        <v>83.3</v>
      </c>
    </row>
    <row r="30" spans="1:10" s="2" customFormat="1" ht="20.100000000000001" customHeight="1">
      <c r="A30" s="4" t="s">
        <v>23</v>
      </c>
      <c r="B30" s="5">
        <v>1055</v>
      </c>
      <c r="C30" s="196">
        <v>449</v>
      </c>
      <c r="D30" s="196">
        <v>536</v>
      </c>
      <c r="E30" s="198">
        <v>506</v>
      </c>
      <c r="F30" s="196">
        <v>520</v>
      </c>
      <c r="G30" s="196">
        <f>F30/4</f>
        <v>130</v>
      </c>
      <c r="H30" s="196">
        <f>G30</f>
        <v>130</v>
      </c>
      <c r="I30" s="196">
        <f>G30</f>
        <v>130</v>
      </c>
      <c r="J30" s="196">
        <f>G30</f>
        <v>130</v>
      </c>
    </row>
    <row r="31" spans="1:10" s="2" customFormat="1" ht="20.100000000000001" customHeight="1">
      <c r="A31" s="203" t="s">
        <v>613</v>
      </c>
      <c r="B31" s="256" t="s">
        <v>659</v>
      </c>
      <c r="C31" s="196">
        <v>0</v>
      </c>
      <c r="D31" s="196">
        <v>0</v>
      </c>
      <c r="E31" s="198">
        <v>46</v>
      </c>
      <c r="F31" s="263">
        <f>'Вих дані'!M8</f>
        <v>73.2</v>
      </c>
      <c r="G31" s="263">
        <f>F31/4</f>
        <v>18.3</v>
      </c>
      <c r="H31" s="263">
        <f>G31</f>
        <v>18.3</v>
      </c>
      <c r="I31" s="263">
        <f>G31</f>
        <v>18.3</v>
      </c>
      <c r="J31" s="263">
        <f>G31</f>
        <v>18.3</v>
      </c>
    </row>
    <row r="32" spans="1:10" s="2" customFormat="1" ht="57" customHeight="1">
      <c r="A32" s="4" t="s">
        <v>177</v>
      </c>
      <c r="B32" s="5">
        <v>1056</v>
      </c>
      <c r="C32" s="196">
        <v>0</v>
      </c>
      <c r="D32" s="196">
        <f t="shared" ref="D32:F32" si="13">SUM(E32:H32)</f>
        <v>0</v>
      </c>
      <c r="E32" s="196">
        <v>0</v>
      </c>
      <c r="F32" s="196">
        <f t="shared" si="13"/>
        <v>0</v>
      </c>
      <c r="G32" s="196">
        <v>0</v>
      </c>
      <c r="H32" s="196">
        <v>0</v>
      </c>
      <c r="I32" s="196">
        <v>0</v>
      </c>
      <c r="J32" s="196">
        <v>0</v>
      </c>
    </row>
    <row r="33" spans="1:10" s="2" customFormat="1">
      <c r="A33" s="4" t="s">
        <v>45</v>
      </c>
      <c r="B33" s="5">
        <v>1057</v>
      </c>
      <c r="C33" s="196">
        <v>1143</v>
      </c>
      <c r="D33" s="196">
        <v>660</v>
      </c>
      <c r="E33" s="198">
        <v>350</v>
      </c>
      <c r="F33" s="196">
        <v>400</v>
      </c>
      <c r="G33" s="196">
        <f>F33/4</f>
        <v>100</v>
      </c>
      <c r="H33" s="196">
        <f>G33</f>
        <v>100</v>
      </c>
      <c r="I33" s="196">
        <f>G33</f>
        <v>100</v>
      </c>
      <c r="J33" s="196">
        <f>G33</f>
        <v>100</v>
      </c>
    </row>
    <row r="34" spans="1:10" s="2" customFormat="1" ht="20.100000000000001" customHeight="1">
      <c r="A34" s="4" t="s">
        <v>518</v>
      </c>
      <c r="B34" s="5">
        <v>1058</v>
      </c>
      <c r="C34" s="196">
        <f>SUM(C35:C47)</f>
        <v>18250.000000000004</v>
      </c>
      <c r="D34" s="196">
        <f t="shared" ref="D34:J34" si="14">SUM(D35:D47)</f>
        <v>20724</v>
      </c>
      <c r="E34" s="196">
        <f t="shared" si="14"/>
        <v>23018</v>
      </c>
      <c r="F34" s="196">
        <f t="shared" si="14"/>
        <v>24871.600000000002</v>
      </c>
      <c r="G34" s="196">
        <f t="shared" si="14"/>
        <v>6217.9000000000005</v>
      </c>
      <c r="H34" s="196">
        <f t="shared" si="14"/>
        <v>6217.9000000000005</v>
      </c>
      <c r="I34" s="196">
        <f t="shared" si="14"/>
        <v>6217.9000000000005</v>
      </c>
      <c r="J34" s="196">
        <f t="shared" si="14"/>
        <v>6217.9000000000005</v>
      </c>
    </row>
    <row r="35" spans="1:10" s="2" customFormat="1" ht="20.100000000000001" customHeight="1">
      <c r="A35" s="4" t="s">
        <v>397</v>
      </c>
      <c r="B35" s="5" t="s">
        <v>399</v>
      </c>
      <c r="C35" s="196">
        <v>2009</v>
      </c>
      <c r="D35" s="196">
        <v>2096</v>
      </c>
      <c r="E35" s="198">
        <v>2250</v>
      </c>
      <c r="F35" s="196">
        <v>2480</v>
      </c>
      <c r="G35" s="196">
        <f>F35/4</f>
        <v>620</v>
      </c>
      <c r="H35" s="196">
        <f>G35</f>
        <v>620</v>
      </c>
      <c r="I35" s="196">
        <f>G35</f>
        <v>620</v>
      </c>
      <c r="J35" s="196">
        <f>G35</f>
        <v>620</v>
      </c>
    </row>
    <row r="36" spans="1:10" s="2" customFormat="1" ht="20.100000000000001" customHeight="1">
      <c r="A36" s="4" t="s">
        <v>398</v>
      </c>
      <c r="B36" s="5" t="s">
        <v>400</v>
      </c>
      <c r="C36" s="196">
        <v>14940</v>
      </c>
      <c r="D36" s="196">
        <v>17432</v>
      </c>
      <c r="E36" s="198">
        <v>18383.7</v>
      </c>
      <c r="F36" s="196">
        <v>19820</v>
      </c>
      <c r="G36" s="196">
        <f>F36/4</f>
        <v>4955</v>
      </c>
      <c r="H36" s="196">
        <f>G36</f>
        <v>4955</v>
      </c>
      <c r="I36" s="196">
        <f>G36</f>
        <v>4955</v>
      </c>
      <c r="J36" s="196">
        <f>G36</f>
        <v>4955</v>
      </c>
    </row>
    <row r="37" spans="1:10" s="2" customFormat="1" ht="20.100000000000001" customHeight="1">
      <c r="A37" s="4" t="s">
        <v>402</v>
      </c>
      <c r="B37" s="5" t="s">
        <v>401</v>
      </c>
      <c r="C37" s="196">
        <v>52.6</v>
      </c>
      <c r="D37" s="196">
        <v>48</v>
      </c>
      <c r="E37" s="198">
        <v>77</v>
      </c>
      <c r="F37" s="196">
        <v>88</v>
      </c>
      <c r="G37" s="196">
        <f>F37/4</f>
        <v>22</v>
      </c>
      <c r="H37" s="196">
        <f>G37</f>
        <v>22</v>
      </c>
      <c r="I37" s="196">
        <f>G37</f>
        <v>22</v>
      </c>
      <c r="J37" s="196">
        <f>G37</f>
        <v>22</v>
      </c>
    </row>
    <row r="38" spans="1:10" s="2" customFormat="1" ht="20.100000000000001" customHeight="1">
      <c r="A38" s="4" t="s">
        <v>404</v>
      </c>
      <c r="B38" s="5" t="s">
        <v>403</v>
      </c>
      <c r="C38" s="196">
        <v>218</v>
      </c>
      <c r="D38" s="196">
        <v>60</v>
      </c>
      <c r="E38" s="198">
        <v>260</v>
      </c>
      <c r="F38" s="196">
        <v>240</v>
      </c>
      <c r="G38" s="196">
        <f t="shared" ref="G38:G46" si="15">F38/4</f>
        <v>60</v>
      </c>
      <c r="H38" s="196">
        <f t="shared" ref="H38:H47" si="16">G38</f>
        <v>60</v>
      </c>
      <c r="I38" s="196">
        <f t="shared" ref="I38:I45" si="17">G38</f>
        <v>60</v>
      </c>
      <c r="J38" s="196">
        <f t="shared" ref="J38:J45" si="18">G38</f>
        <v>60</v>
      </c>
    </row>
    <row r="39" spans="1:10" s="2" customFormat="1" ht="20.100000000000001" customHeight="1">
      <c r="A39" s="4" t="s">
        <v>406</v>
      </c>
      <c r="B39" s="5" t="s">
        <v>405</v>
      </c>
      <c r="C39" s="196">
        <v>108</v>
      </c>
      <c r="D39" s="196">
        <v>84</v>
      </c>
      <c r="E39" s="198">
        <v>200</v>
      </c>
      <c r="F39" s="196">
        <v>300</v>
      </c>
      <c r="G39" s="196">
        <f t="shared" si="15"/>
        <v>75</v>
      </c>
      <c r="H39" s="196">
        <f t="shared" si="16"/>
        <v>75</v>
      </c>
      <c r="I39" s="196">
        <f t="shared" si="17"/>
        <v>75</v>
      </c>
      <c r="J39" s="196">
        <f t="shared" si="18"/>
        <v>75</v>
      </c>
    </row>
    <row r="40" spans="1:10" s="2" customFormat="1" ht="20.100000000000001" customHeight="1">
      <c r="A40" s="4" t="s">
        <v>408</v>
      </c>
      <c r="B40" s="5" t="s">
        <v>407</v>
      </c>
      <c r="C40" s="196">
        <v>225</v>
      </c>
      <c r="D40" s="196">
        <v>164</v>
      </c>
      <c r="E40" s="198">
        <v>450</v>
      </c>
      <c r="F40" s="196">
        <v>672</v>
      </c>
      <c r="G40" s="196">
        <f t="shared" si="15"/>
        <v>168</v>
      </c>
      <c r="H40" s="196">
        <f t="shared" si="16"/>
        <v>168</v>
      </c>
      <c r="I40" s="196">
        <f t="shared" si="17"/>
        <v>168</v>
      </c>
      <c r="J40" s="196">
        <f t="shared" si="18"/>
        <v>168</v>
      </c>
    </row>
    <row r="41" spans="1:10" s="2" customFormat="1" ht="20.100000000000001" customHeight="1">
      <c r="A41" s="4" t="s">
        <v>410</v>
      </c>
      <c r="B41" s="5" t="s">
        <v>409</v>
      </c>
      <c r="C41" s="196">
        <v>64.900000000000006</v>
      </c>
      <c r="D41" s="196">
        <v>568</v>
      </c>
      <c r="E41" s="198">
        <v>568</v>
      </c>
      <c r="F41" s="196">
        <f>'Вих дані'!M9</f>
        <v>599.20000000000005</v>
      </c>
      <c r="G41" s="196">
        <f t="shared" si="15"/>
        <v>149.80000000000001</v>
      </c>
      <c r="H41" s="196">
        <f t="shared" si="16"/>
        <v>149.80000000000001</v>
      </c>
      <c r="I41" s="196">
        <f t="shared" si="17"/>
        <v>149.80000000000001</v>
      </c>
      <c r="J41" s="196">
        <f t="shared" si="18"/>
        <v>149.80000000000001</v>
      </c>
    </row>
    <row r="42" spans="1:10">
      <c r="A42" s="87" t="s">
        <v>455</v>
      </c>
      <c r="B42" s="5" t="s">
        <v>411</v>
      </c>
      <c r="C42" s="204">
        <v>170</v>
      </c>
      <c r="D42" s="196">
        <v>80</v>
      </c>
      <c r="E42" s="198">
        <v>250</v>
      </c>
      <c r="F42" s="196">
        <v>120</v>
      </c>
      <c r="G42" s="196">
        <f t="shared" si="15"/>
        <v>30</v>
      </c>
      <c r="H42" s="196">
        <f t="shared" si="16"/>
        <v>30</v>
      </c>
      <c r="I42" s="196">
        <f t="shared" si="17"/>
        <v>30</v>
      </c>
      <c r="J42" s="196">
        <f t="shared" si="18"/>
        <v>30</v>
      </c>
    </row>
    <row r="43" spans="1:10">
      <c r="A43" s="87" t="s">
        <v>452</v>
      </c>
      <c r="B43" s="5" t="s">
        <v>412</v>
      </c>
      <c r="C43" s="204">
        <v>203.9</v>
      </c>
      <c r="D43" s="196">
        <v>152</v>
      </c>
      <c r="E43" s="198">
        <v>300</v>
      </c>
      <c r="F43" s="196">
        <v>188</v>
      </c>
      <c r="G43" s="196">
        <f t="shared" si="15"/>
        <v>47</v>
      </c>
      <c r="H43" s="196">
        <f t="shared" si="16"/>
        <v>47</v>
      </c>
      <c r="I43" s="196">
        <f t="shared" si="17"/>
        <v>47</v>
      </c>
      <c r="J43" s="196">
        <f t="shared" si="18"/>
        <v>47</v>
      </c>
    </row>
    <row r="44" spans="1:10">
      <c r="A44" s="87" t="s">
        <v>454</v>
      </c>
      <c r="B44" s="5" t="s">
        <v>414</v>
      </c>
      <c r="C44" s="204">
        <v>13</v>
      </c>
      <c r="D44" s="196">
        <v>12</v>
      </c>
      <c r="E44" s="198">
        <v>13</v>
      </c>
      <c r="F44" s="196">
        <v>16</v>
      </c>
      <c r="G44" s="196">
        <f t="shared" si="15"/>
        <v>4</v>
      </c>
      <c r="H44" s="196">
        <f t="shared" si="16"/>
        <v>4</v>
      </c>
      <c r="I44" s="196">
        <f t="shared" si="17"/>
        <v>4</v>
      </c>
      <c r="J44" s="196">
        <f t="shared" si="18"/>
        <v>4</v>
      </c>
    </row>
    <row r="45" spans="1:10" ht="75.75" customHeight="1">
      <c r="A45" s="4" t="s">
        <v>461</v>
      </c>
      <c r="B45" s="5" t="s">
        <v>453</v>
      </c>
      <c r="C45" s="204">
        <v>155.9</v>
      </c>
      <c r="D45" s="196">
        <v>28</v>
      </c>
      <c r="E45" s="196">
        <v>150</v>
      </c>
      <c r="F45" s="196">
        <v>160</v>
      </c>
      <c r="G45" s="196">
        <f t="shared" si="15"/>
        <v>40</v>
      </c>
      <c r="H45" s="196">
        <f t="shared" si="16"/>
        <v>40</v>
      </c>
      <c r="I45" s="196">
        <f t="shared" si="17"/>
        <v>40</v>
      </c>
      <c r="J45" s="196">
        <f t="shared" si="18"/>
        <v>40</v>
      </c>
    </row>
    <row r="46" spans="1:10">
      <c r="A46" s="87" t="s">
        <v>602</v>
      </c>
      <c r="B46" s="5" t="s">
        <v>512</v>
      </c>
      <c r="C46" s="204">
        <v>89.7</v>
      </c>
      <c r="D46" s="196">
        <v>0</v>
      </c>
      <c r="E46" s="196">
        <v>75</v>
      </c>
      <c r="F46" s="196">
        <v>120</v>
      </c>
      <c r="G46" s="196">
        <f t="shared" si="15"/>
        <v>30</v>
      </c>
      <c r="H46" s="196">
        <f t="shared" si="16"/>
        <v>30</v>
      </c>
      <c r="I46" s="196">
        <f t="shared" ref="I46" si="19">G46</f>
        <v>30</v>
      </c>
      <c r="J46" s="196">
        <f t="shared" ref="J46" si="20">G46</f>
        <v>30</v>
      </c>
    </row>
    <row r="47" spans="1:10">
      <c r="A47" s="87" t="s">
        <v>608</v>
      </c>
      <c r="B47" s="5" t="s">
        <v>609</v>
      </c>
      <c r="C47" s="204">
        <v>0</v>
      </c>
      <c r="D47" s="196">
        <v>0</v>
      </c>
      <c r="E47" s="196">
        <v>41.3</v>
      </c>
      <c r="F47" s="263">
        <f>'Вих дані'!M10</f>
        <v>68.400000000000006</v>
      </c>
      <c r="G47" s="263">
        <v>17.100000000000001</v>
      </c>
      <c r="H47" s="263">
        <f t="shared" si="16"/>
        <v>17.100000000000001</v>
      </c>
      <c r="I47" s="263">
        <f t="shared" ref="I47" si="21">G47</f>
        <v>17.100000000000001</v>
      </c>
      <c r="J47" s="263">
        <f t="shared" ref="J47" si="22">G47</f>
        <v>17.100000000000001</v>
      </c>
    </row>
    <row r="48" spans="1:10" s="107" customFormat="1">
      <c r="A48" s="245" t="s">
        <v>232</v>
      </c>
      <c r="B48" s="6">
        <v>1060</v>
      </c>
      <c r="C48" s="195">
        <f t="shared" ref="C48" si="23">C14-C19</f>
        <v>2369</v>
      </c>
      <c r="D48" s="195">
        <f t="shared" ref="D48" si="24">D14-D19</f>
        <v>2645.7999999999993</v>
      </c>
      <c r="E48" s="200">
        <f t="shared" ref="E48:J48" si="25">E14-E19</f>
        <v>2998</v>
      </c>
      <c r="F48" s="195">
        <f t="shared" si="25"/>
        <v>3668.3999999999978</v>
      </c>
      <c r="G48" s="195">
        <f t="shared" si="25"/>
        <v>917.09999999999945</v>
      </c>
      <c r="H48" s="195">
        <f t="shared" si="25"/>
        <v>917.09999999999945</v>
      </c>
      <c r="I48" s="195">
        <f t="shared" si="25"/>
        <v>917.09999999999945</v>
      </c>
      <c r="J48" s="195">
        <f t="shared" si="25"/>
        <v>917.09999999999945</v>
      </c>
    </row>
    <row r="49" spans="1:10" ht="20.100000000000001" customHeight="1">
      <c r="A49" s="245" t="s">
        <v>161</v>
      </c>
      <c r="B49" s="6">
        <v>1070</v>
      </c>
      <c r="C49" s="201">
        <v>991</v>
      </c>
      <c r="D49" s="201">
        <f>SUM(D50)</f>
        <v>680</v>
      </c>
      <c r="E49" s="202">
        <v>991</v>
      </c>
      <c r="F49" s="201">
        <f>SUM(F50)</f>
        <v>1040</v>
      </c>
      <c r="G49" s="201">
        <f>SUM(G50)</f>
        <v>260</v>
      </c>
      <c r="H49" s="201">
        <f t="shared" ref="H49:J49" si="26">SUM(H50)</f>
        <v>260</v>
      </c>
      <c r="I49" s="201">
        <f t="shared" si="26"/>
        <v>260</v>
      </c>
      <c r="J49" s="201">
        <f t="shared" si="26"/>
        <v>260</v>
      </c>
    </row>
    <row r="50" spans="1:10" ht="37.5">
      <c r="A50" s="4" t="s">
        <v>446</v>
      </c>
      <c r="B50" s="5">
        <v>1071</v>
      </c>
      <c r="C50" s="205">
        <v>690</v>
      </c>
      <c r="D50" s="205">
        <v>680</v>
      </c>
      <c r="E50" s="206">
        <v>690</v>
      </c>
      <c r="F50" s="205">
        <v>1040</v>
      </c>
      <c r="G50" s="205">
        <f>F50/4</f>
        <v>260</v>
      </c>
      <c r="H50" s="205">
        <f>G50</f>
        <v>260</v>
      </c>
      <c r="I50" s="205">
        <f>G50</f>
        <v>260</v>
      </c>
      <c r="J50" s="205">
        <f>G50</f>
        <v>260</v>
      </c>
    </row>
    <row r="51" spans="1:10" ht="20.100000000000001" customHeight="1">
      <c r="A51" s="245" t="s">
        <v>168</v>
      </c>
      <c r="B51" s="6">
        <v>1080</v>
      </c>
      <c r="C51" s="195">
        <v>1945</v>
      </c>
      <c r="D51" s="195">
        <v>2268</v>
      </c>
      <c r="E51" s="195">
        <f>SUM(E52:E73)</f>
        <v>2566.5</v>
      </c>
      <c r="F51" s="195">
        <f>SUM(F52:F73)</f>
        <v>2832</v>
      </c>
      <c r="G51" s="195">
        <f t="shared" ref="G51:J51" si="27">SUM(G52:G73)</f>
        <v>708</v>
      </c>
      <c r="H51" s="195">
        <f t="shared" si="27"/>
        <v>708</v>
      </c>
      <c r="I51" s="195">
        <f t="shared" si="27"/>
        <v>708</v>
      </c>
      <c r="J51" s="195">
        <f t="shared" si="27"/>
        <v>708</v>
      </c>
    </row>
    <row r="52" spans="1:10" ht="38.25" customHeight="1">
      <c r="A52" s="4" t="s">
        <v>82</v>
      </c>
      <c r="B52" s="5">
        <v>1081</v>
      </c>
      <c r="C52" s="205">
        <v>74.599999999999994</v>
      </c>
      <c r="D52" s="196">
        <v>80</v>
      </c>
      <c r="E52" s="206">
        <v>95</v>
      </c>
      <c r="F52" s="196">
        <v>98</v>
      </c>
      <c r="G52" s="205">
        <f>F52/4</f>
        <v>24.5</v>
      </c>
      <c r="H52" s="205">
        <f>G52</f>
        <v>24.5</v>
      </c>
      <c r="I52" s="205">
        <f>G52</f>
        <v>24.5</v>
      </c>
      <c r="J52" s="205">
        <f>G52</f>
        <v>24.5</v>
      </c>
    </row>
    <row r="53" spans="1:10">
      <c r="A53" s="4" t="s">
        <v>157</v>
      </c>
      <c r="B53" s="5">
        <v>1082</v>
      </c>
      <c r="C53" s="196">
        <v>0</v>
      </c>
      <c r="D53" s="196">
        <v>0</v>
      </c>
      <c r="E53" s="196">
        <v>0</v>
      </c>
      <c r="F53" s="196">
        <f t="shared" ref="F53:F82" si="28">SUM(G53:J53)</f>
        <v>0</v>
      </c>
      <c r="G53" s="196">
        <v>0</v>
      </c>
      <c r="H53" s="196">
        <v>0</v>
      </c>
      <c r="I53" s="196">
        <v>0</v>
      </c>
      <c r="J53" s="196">
        <v>0</v>
      </c>
    </row>
    <row r="54" spans="1:10" ht="20.100000000000001" customHeight="1">
      <c r="A54" s="4" t="s">
        <v>44</v>
      </c>
      <c r="B54" s="5">
        <v>1083</v>
      </c>
      <c r="C54" s="196">
        <v>0</v>
      </c>
      <c r="D54" s="196">
        <v>0</v>
      </c>
      <c r="E54" s="196">
        <v>0</v>
      </c>
      <c r="F54" s="196">
        <f t="shared" si="28"/>
        <v>0</v>
      </c>
      <c r="G54" s="196">
        <v>0</v>
      </c>
      <c r="H54" s="196">
        <v>0</v>
      </c>
      <c r="I54" s="196">
        <v>0</v>
      </c>
      <c r="J54" s="196">
        <v>0</v>
      </c>
    </row>
    <row r="55" spans="1:10" ht="20.100000000000001" customHeight="1">
      <c r="A55" s="4" t="s">
        <v>7</v>
      </c>
      <c r="B55" s="5">
        <v>1084</v>
      </c>
      <c r="C55" s="196">
        <v>0</v>
      </c>
      <c r="D55" s="196">
        <v>0</v>
      </c>
      <c r="E55" s="196">
        <v>0</v>
      </c>
      <c r="F55" s="196">
        <v>32</v>
      </c>
      <c r="G55" s="205">
        <f>F55/4</f>
        <v>8</v>
      </c>
      <c r="H55" s="205">
        <f>G55</f>
        <v>8</v>
      </c>
      <c r="I55" s="205">
        <f>G55</f>
        <v>8</v>
      </c>
      <c r="J55" s="205">
        <f>G55</f>
        <v>8</v>
      </c>
    </row>
    <row r="56" spans="1:10" ht="20.100000000000001" customHeight="1">
      <c r="A56" s="4" t="s">
        <v>8</v>
      </c>
      <c r="B56" s="5">
        <v>1085</v>
      </c>
      <c r="C56" s="205">
        <v>25</v>
      </c>
      <c r="D56" s="196">
        <v>40</v>
      </c>
      <c r="E56" s="206">
        <v>30</v>
      </c>
      <c r="F56" s="196">
        <f>SUM(G56:J56)</f>
        <v>40</v>
      </c>
      <c r="G56" s="196">
        <v>10</v>
      </c>
      <c r="H56" s="196">
        <v>10</v>
      </c>
      <c r="I56" s="196">
        <v>10</v>
      </c>
      <c r="J56" s="196">
        <v>10</v>
      </c>
    </row>
    <row r="57" spans="1:10" s="2" customFormat="1" ht="20.100000000000001" customHeight="1">
      <c r="A57" s="4" t="s">
        <v>20</v>
      </c>
      <c r="B57" s="5">
        <v>1086</v>
      </c>
      <c r="C57" s="196">
        <v>7</v>
      </c>
      <c r="D57" s="196">
        <v>8</v>
      </c>
      <c r="E57" s="198">
        <v>15</v>
      </c>
      <c r="F57" s="196">
        <v>16</v>
      </c>
      <c r="G57" s="205">
        <f>F57/4</f>
        <v>4</v>
      </c>
      <c r="H57" s="205">
        <f>G57</f>
        <v>4</v>
      </c>
      <c r="I57" s="205">
        <f>G57</f>
        <v>4</v>
      </c>
      <c r="J57" s="205">
        <f>G57</f>
        <v>4</v>
      </c>
    </row>
    <row r="58" spans="1:10" s="2" customFormat="1" ht="20.100000000000001" customHeight="1">
      <c r="A58" s="4" t="s">
        <v>21</v>
      </c>
      <c r="B58" s="5">
        <v>1087</v>
      </c>
      <c r="C58" s="196">
        <v>12</v>
      </c>
      <c r="D58" s="196">
        <v>16</v>
      </c>
      <c r="E58" s="198">
        <v>15</v>
      </c>
      <c r="F58" s="196">
        <v>16</v>
      </c>
      <c r="G58" s="205">
        <f>F58/4</f>
        <v>4</v>
      </c>
      <c r="H58" s="205">
        <f>G58</f>
        <v>4</v>
      </c>
      <c r="I58" s="205">
        <f>G58</f>
        <v>4</v>
      </c>
      <c r="J58" s="205">
        <f>G58</f>
        <v>4</v>
      </c>
    </row>
    <row r="59" spans="1:10" s="2" customFormat="1" ht="20.100000000000001" customHeight="1">
      <c r="A59" s="4" t="s">
        <v>22</v>
      </c>
      <c r="B59" s="5">
        <v>1088</v>
      </c>
      <c r="C59" s="196">
        <v>889.2</v>
      </c>
      <c r="D59" s="196">
        <v>1200</v>
      </c>
      <c r="E59" s="198">
        <v>1220</v>
      </c>
      <c r="F59" s="196">
        <v>1320</v>
      </c>
      <c r="G59" s="205">
        <f>F59/4</f>
        <v>330</v>
      </c>
      <c r="H59" s="205">
        <f>G59</f>
        <v>330</v>
      </c>
      <c r="I59" s="205">
        <f>G59</f>
        <v>330</v>
      </c>
      <c r="J59" s="205">
        <f>G59</f>
        <v>330</v>
      </c>
    </row>
    <row r="60" spans="1:10" s="2" customFormat="1" ht="20.100000000000001" customHeight="1">
      <c r="A60" s="4" t="s">
        <v>23</v>
      </c>
      <c r="B60" s="5">
        <v>1089</v>
      </c>
      <c r="C60" s="196">
        <v>195.9</v>
      </c>
      <c r="D60" s="196">
        <v>264</v>
      </c>
      <c r="E60" s="198">
        <v>265</v>
      </c>
      <c r="F60" s="196">
        <v>290</v>
      </c>
      <c r="G60" s="205">
        <f>F60/4</f>
        <v>72.5</v>
      </c>
      <c r="H60" s="205">
        <f>G60</f>
        <v>72.5</v>
      </c>
      <c r="I60" s="205">
        <f>G60</f>
        <v>72.5</v>
      </c>
      <c r="J60" s="205">
        <f>G60</f>
        <v>72.5</v>
      </c>
    </row>
    <row r="61" spans="1:10" s="2" customFormat="1" ht="37.5">
      <c r="A61" s="4" t="s">
        <v>24</v>
      </c>
      <c r="B61" s="5">
        <v>1090</v>
      </c>
      <c r="C61" s="196">
        <v>48.7</v>
      </c>
      <c r="D61" s="196">
        <v>16</v>
      </c>
      <c r="E61" s="198">
        <v>75</v>
      </c>
      <c r="F61" s="196">
        <v>76</v>
      </c>
      <c r="G61" s="205">
        <f>F61/4</f>
        <v>19</v>
      </c>
      <c r="H61" s="205">
        <f>G61</f>
        <v>19</v>
      </c>
      <c r="I61" s="205">
        <f>G61</f>
        <v>19</v>
      </c>
      <c r="J61" s="205">
        <f>G61</f>
        <v>19</v>
      </c>
    </row>
    <row r="62" spans="1:10" s="2" customFormat="1" ht="37.5">
      <c r="A62" s="4" t="s">
        <v>25</v>
      </c>
      <c r="B62" s="5">
        <v>1091</v>
      </c>
      <c r="C62" s="196">
        <v>0</v>
      </c>
      <c r="D62" s="196">
        <v>0</v>
      </c>
      <c r="E62" s="207" t="s">
        <v>456</v>
      </c>
      <c r="F62" s="196">
        <f t="shared" si="28"/>
        <v>0</v>
      </c>
      <c r="G62" s="196">
        <v>0</v>
      </c>
      <c r="H62" s="196">
        <v>0</v>
      </c>
      <c r="I62" s="196">
        <v>0</v>
      </c>
      <c r="J62" s="196">
        <v>0</v>
      </c>
    </row>
    <row r="63" spans="1:10" s="2" customFormat="1" ht="37.5">
      <c r="A63" s="4" t="s">
        <v>26</v>
      </c>
      <c r="B63" s="5">
        <v>1092</v>
      </c>
      <c r="C63" s="196">
        <v>0</v>
      </c>
      <c r="D63" s="196">
        <v>0</v>
      </c>
      <c r="E63" s="196">
        <v>0</v>
      </c>
      <c r="F63" s="196">
        <f t="shared" si="28"/>
        <v>0</v>
      </c>
      <c r="G63" s="196">
        <v>0</v>
      </c>
      <c r="H63" s="196">
        <v>0</v>
      </c>
      <c r="I63" s="196">
        <v>0</v>
      </c>
      <c r="J63" s="196">
        <v>0</v>
      </c>
    </row>
    <row r="64" spans="1:10" s="2" customFormat="1" ht="20.100000000000001" customHeight="1">
      <c r="A64" s="4" t="s">
        <v>27</v>
      </c>
      <c r="B64" s="5">
        <v>1093</v>
      </c>
      <c r="C64" s="196">
        <v>0</v>
      </c>
      <c r="D64" s="196">
        <v>0</v>
      </c>
      <c r="E64" s="196">
        <v>0</v>
      </c>
      <c r="F64" s="196">
        <f t="shared" si="28"/>
        <v>0</v>
      </c>
      <c r="G64" s="196">
        <v>0</v>
      </c>
      <c r="H64" s="196">
        <v>0</v>
      </c>
      <c r="I64" s="196">
        <v>0</v>
      </c>
      <c r="J64" s="196">
        <v>0</v>
      </c>
    </row>
    <row r="65" spans="1:10" s="2" customFormat="1" ht="20.100000000000001" customHeight="1">
      <c r="A65" s="4" t="s">
        <v>28</v>
      </c>
      <c r="B65" s="5">
        <v>1094</v>
      </c>
      <c r="C65" s="196">
        <v>10</v>
      </c>
      <c r="D65" s="196">
        <v>4</v>
      </c>
      <c r="E65" s="196">
        <v>10</v>
      </c>
      <c r="F65" s="196">
        <v>10</v>
      </c>
      <c r="G65" s="205">
        <f>F65/4</f>
        <v>2.5</v>
      </c>
      <c r="H65" s="205">
        <f>G65</f>
        <v>2.5</v>
      </c>
      <c r="I65" s="205">
        <f>G65</f>
        <v>2.5</v>
      </c>
      <c r="J65" s="205">
        <f>G65</f>
        <v>2.5</v>
      </c>
    </row>
    <row r="66" spans="1:10" s="2" customFormat="1" ht="20.100000000000001" customHeight="1">
      <c r="A66" s="4" t="s">
        <v>48</v>
      </c>
      <c r="B66" s="5">
        <v>1095</v>
      </c>
      <c r="C66" s="196">
        <v>3.3</v>
      </c>
      <c r="D66" s="196">
        <v>4</v>
      </c>
      <c r="E66" s="198">
        <v>3.3</v>
      </c>
      <c r="F66" s="196">
        <v>6</v>
      </c>
      <c r="G66" s="205">
        <f>F66/4</f>
        <v>1.5</v>
      </c>
      <c r="H66" s="205">
        <f>G66</f>
        <v>1.5</v>
      </c>
      <c r="I66" s="205">
        <f>G66</f>
        <v>1.5</v>
      </c>
      <c r="J66" s="205">
        <f>G66</f>
        <v>1.5</v>
      </c>
    </row>
    <row r="67" spans="1:10" s="2" customFormat="1" ht="19.5" customHeight="1">
      <c r="A67" s="4" t="s">
        <v>607</v>
      </c>
      <c r="B67" s="5">
        <v>1096</v>
      </c>
      <c r="C67" s="196">
        <v>3.2</v>
      </c>
      <c r="D67" s="196">
        <v>0</v>
      </c>
      <c r="E67" s="196">
        <v>3.2</v>
      </c>
      <c r="F67" s="196">
        <v>4</v>
      </c>
      <c r="G67" s="205">
        <f>F67/4</f>
        <v>1</v>
      </c>
      <c r="H67" s="205">
        <f>G67</f>
        <v>1</v>
      </c>
      <c r="I67" s="205">
        <f>G67</f>
        <v>1</v>
      </c>
      <c r="J67" s="205">
        <f>G67</f>
        <v>1</v>
      </c>
    </row>
    <row r="68" spans="1:10" s="2" customFormat="1" ht="19.5" customHeight="1">
      <c r="A68" s="4" t="s">
        <v>29</v>
      </c>
      <c r="B68" s="5">
        <v>1097</v>
      </c>
      <c r="C68" s="196">
        <v>6</v>
      </c>
      <c r="D68" s="196">
        <v>4</v>
      </c>
      <c r="E68" s="196">
        <v>6</v>
      </c>
      <c r="F68" s="196">
        <v>6</v>
      </c>
      <c r="G68" s="205">
        <f>F68/4</f>
        <v>1.5</v>
      </c>
      <c r="H68" s="205">
        <f>G68</f>
        <v>1.5</v>
      </c>
      <c r="I68" s="205">
        <f>G68</f>
        <v>1.5</v>
      </c>
      <c r="J68" s="205">
        <f>G68</f>
        <v>1.5</v>
      </c>
    </row>
    <row r="69" spans="1:10" s="2" customFormat="1" ht="37.5">
      <c r="A69" s="4" t="s">
        <v>30</v>
      </c>
      <c r="B69" s="5">
        <v>1098</v>
      </c>
      <c r="C69" s="196">
        <v>0</v>
      </c>
      <c r="D69" s="196">
        <v>0</v>
      </c>
      <c r="E69" s="196">
        <v>0</v>
      </c>
      <c r="F69" s="196">
        <f t="shared" si="28"/>
        <v>0</v>
      </c>
      <c r="G69" s="196">
        <v>0</v>
      </c>
      <c r="H69" s="196">
        <v>0</v>
      </c>
      <c r="I69" s="196">
        <v>0</v>
      </c>
      <c r="J69" s="196">
        <v>0</v>
      </c>
    </row>
    <row r="70" spans="1:10" s="2" customFormat="1" ht="19.5" customHeight="1">
      <c r="A70" s="4" t="s">
        <v>31</v>
      </c>
      <c r="B70" s="5">
        <v>1099</v>
      </c>
      <c r="C70" s="196">
        <v>0</v>
      </c>
      <c r="D70" s="196">
        <v>0</v>
      </c>
      <c r="E70" s="196">
        <v>0</v>
      </c>
      <c r="F70" s="196">
        <v>8</v>
      </c>
      <c r="G70" s="205">
        <f>F70/4</f>
        <v>2</v>
      </c>
      <c r="H70" s="205">
        <f>G70</f>
        <v>2</v>
      </c>
      <c r="I70" s="205">
        <f>G70</f>
        <v>2</v>
      </c>
      <c r="J70" s="205">
        <f>G70</f>
        <v>2</v>
      </c>
    </row>
    <row r="71" spans="1:10" s="2" customFormat="1" ht="57" customHeight="1">
      <c r="A71" s="4" t="s">
        <v>58</v>
      </c>
      <c r="B71" s="5">
        <v>1100</v>
      </c>
      <c r="C71" s="196">
        <v>0</v>
      </c>
      <c r="D71" s="196">
        <v>0</v>
      </c>
      <c r="E71" s="196">
        <v>0</v>
      </c>
      <c r="F71" s="196">
        <f t="shared" si="28"/>
        <v>0</v>
      </c>
      <c r="G71" s="196">
        <f t="shared" ref="G71" si="29">SUM(H71:K71)</f>
        <v>0</v>
      </c>
      <c r="H71" s="196">
        <f t="shared" ref="H71" si="30">SUM(I71:L71)</f>
        <v>0</v>
      </c>
      <c r="I71" s="196">
        <f t="shared" ref="I71" si="31">SUM(J71:M71)</f>
        <v>0</v>
      </c>
      <c r="J71" s="196">
        <f t="shared" ref="J71" si="32">SUM(K71:N71)</f>
        <v>0</v>
      </c>
    </row>
    <row r="72" spans="1:10" s="2" customFormat="1" ht="19.5" customHeight="1">
      <c r="A72" s="4" t="s">
        <v>32</v>
      </c>
      <c r="B72" s="5">
        <v>1101</v>
      </c>
      <c r="C72" s="196">
        <v>0</v>
      </c>
      <c r="D72" s="196">
        <v>0</v>
      </c>
      <c r="E72" s="196">
        <v>0</v>
      </c>
      <c r="F72" s="196">
        <f t="shared" si="28"/>
        <v>0</v>
      </c>
      <c r="G72" s="196">
        <v>0</v>
      </c>
      <c r="H72" s="196">
        <v>0</v>
      </c>
      <c r="I72" s="196">
        <v>0</v>
      </c>
      <c r="J72" s="196">
        <v>0</v>
      </c>
    </row>
    <row r="73" spans="1:10" s="2" customFormat="1" ht="20.100000000000001" customHeight="1">
      <c r="A73" s="4" t="s">
        <v>84</v>
      </c>
      <c r="B73" s="5">
        <v>1102</v>
      </c>
      <c r="C73" s="196">
        <f t="shared" ref="C73:D73" si="33">SUM(C74:C81)</f>
        <v>571.29999999999995</v>
      </c>
      <c r="D73" s="196">
        <f t="shared" si="33"/>
        <v>572</v>
      </c>
      <c r="E73" s="196">
        <f>SUM(E74:E81)</f>
        <v>829</v>
      </c>
      <c r="F73" s="196">
        <f>SUM(F74:F82)</f>
        <v>910</v>
      </c>
      <c r="G73" s="196">
        <f t="shared" ref="G73:J73" si="34">SUM(G74:G82)</f>
        <v>227.5</v>
      </c>
      <c r="H73" s="196">
        <f t="shared" si="34"/>
        <v>227.5</v>
      </c>
      <c r="I73" s="196">
        <f t="shared" si="34"/>
        <v>227.5</v>
      </c>
      <c r="J73" s="196">
        <f t="shared" si="34"/>
        <v>227.5</v>
      </c>
    </row>
    <row r="74" spans="1:10" s="2" customFormat="1" ht="20.100000000000001" customHeight="1">
      <c r="A74" s="4" t="s">
        <v>416</v>
      </c>
      <c r="B74" s="5" t="s">
        <v>415</v>
      </c>
      <c r="C74" s="196">
        <v>413.5</v>
      </c>
      <c r="D74" s="196">
        <v>480</v>
      </c>
      <c r="E74" s="198">
        <v>480</v>
      </c>
      <c r="F74" s="196">
        <v>528</v>
      </c>
      <c r="G74" s="205">
        <f t="shared" ref="G74:G81" si="35">F74/4</f>
        <v>132</v>
      </c>
      <c r="H74" s="205">
        <f t="shared" ref="H74:H81" si="36">G74</f>
        <v>132</v>
      </c>
      <c r="I74" s="205">
        <f t="shared" ref="I74:I81" si="37">G74</f>
        <v>132</v>
      </c>
      <c r="J74" s="205">
        <f t="shared" ref="J74:J81" si="38">G74</f>
        <v>132</v>
      </c>
    </row>
    <row r="75" spans="1:10" s="2" customFormat="1" ht="20.100000000000001" customHeight="1">
      <c r="A75" s="4" t="s">
        <v>458</v>
      </c>
      <c r="B75" s="5" t="s">
        <v>418</v>
      </c>
      <c r="C75" s="196">
        <v>10.7</v>
      </c>
      <c r="D75" s="196">
        <v>16</v>
      </c>
      <c r="E75" s="198">
        <v>16</v>
      </c>
      <c r="F75" s="196">
        <v>20</v>
      </c>
      <c r="G75" s="205">
        <f t="shared" si="35"/>
        <v>5</v>
      </c>
      <c r="H75" s="205">
        <f t="shared" si="36"/>
        <v>5</v>
      </c>
      <c r="I75" s="205">
        <f t="shared" si="37"/>
        <v>5</v>
      </c>
      <c r="J75" s="205">
        <f t="shared" si="38"/>
        <v>5</v>
      </c>
    </row>
    <row r="76" spans="1:10" s="2" customFormat="1" ht="20.100000000000001" customHeight="1">
      <c r="A76" s="4" t="s">
        <v>417</v>
      </c>
      <c r="B76" s="5" t="s">
        <v>419</v>
      </c>
      <c r="C76" s="196">
        <v>24.7</v>
      </c>
      <c r="D76" s="196">
        <v>16</v>
      </c>
      <c r="E76" s="198">
        <v>35</v>
      </c>
      <c r="F76" s="196">
        <v>36</v>
      </c>
      <c r="G76" s="205">
        <f t="shared" si="35"/>
        <v>9</v>
      </c>
      <c r="H76" s="205">
        <f t="shared" si="36"/>
        <v>9</v>
      </c>
      <c r="I76" s="205">
        <f t="shared" si="37"/>
        <v>9</v>
      </c>
      <c r="J76" s="205">
        <f t="shared" si="38"/>
        <v>9</v>
      </c>
    </row>
    <row r="77" spans="1:10" s="2" customFormat="1" ht="20.100000000000001" customHeight="1">
      <c r="A77" s="4" t="s">
        <v>46</v>
      </c>
      <c r="B77" s="5" t="s">
        <v>421</v>
      </c>
      <c r="C77" s="196">
        <v>20</v>
      </c>
      <c r="D77" s="196">
        <v>20</v>
      </c>
      <c r="E77" s="198">
        <v>18</v>
      </c>
      <c r="F77" s="196">
        <v>24</v>
      </c>
      <c r="G77" s="205">
        <f t="shared" si="35"/>
        <v>6</v>
      </c>
      <c r="H77" s="205">
        <f t="shared" si="36"/>
        <v>6</v>
      </c>
      <c r="I77" s="205">
        <f t="shared" si="37"/>
        <v>6</v>
      </c>
      <c r="J77" s="205">
        <f t="shared" si="38"/>
        <v>6</v>
      </c>
    </row>
    <row r="78" spans="1:10" s="2" customFormat="1" ht="20.100000000000001" customHeight="1">
      <c r="A78" s="4" t="s">
        <v>420</v>
      </c>
      <c r="B78" s="5" t="s">
        <v>422</v>
      </c>
      <c r="C78" s="196">
        <v>25</v>
      </c>
      <c r="D78" s="196">
        <v>12</v>
      </c>
      <c r="E78" s="198">
        <v>15</v>
      </c>
      <c r="F78" s="196">
        <v>16</v>
      </c>
      <c r="G78" s="205">
        <f t="shared" si="35"/>
        <v>4</v>
      </c>
      <c r="H78" s="205">
        <f t="shared" si="36"/>
        <v>4</v>
      </c>
      <c r="I78" s="205">
        <f t="shared" si="37"/>
        <v>4</v>
      </c>
      <c r="J78" s="205">
        <f t="shared" si="38"/>
        <v>4</v>
      </c>
    </row>
    <row r="79" spans="1:10" s="2" customFormat="1" ht="20.100000000000001" customHeight="1">
      <c r="A79" s="4" t="s">
        <v>603</v>
      </c>
      <c r="B79" s="5" t="s">
        <v>423</v>
      </c>
      <c r="C79" s="196">
        <v>58</v>
      </c>
      <c r="D79" s="196">
        <v>8</v>
      </c>
      <c r="E79" s="198">
        <v>100</v>
      </c>
      <c r="F79" s="196">
        <v>36</v>
      </c>
      <c r="G79" s="205">
        <f t="shared" si="35"/>
        <v>9</v>
      </c>
      <c r="H79" s="205">
        <f t="shared" si="36"/>
        <v>9</v>
      </c>
      <c r="I79" s="205">
        <f t="shared" si="37"/>
        <v>9</v>
      </c>
      <c r="J79" s="205">
        <f t="shared" si="38"/>
        <v>9</v>
      </c>
    </row>
    <row r="80" spans="1:10" s="2" customFormat="1" ht="37.5">
      <c r="A80" s="4" t="s">
        <v>459</v>
      </c>
      <c r="B80" s="5" t="s">
        <v>424</v>
      </c>
      <c r="C80" s="196">
        <v>19.399999999999999</v>
      </c>
      <c r="D80" s="196">
        <v>20</v>
      </c>
      <c r="E80" s="198">
        <v>45</v>
      </c>
      <c r="F80" s="196">
        <v>50</v>
      </c>
      <c r="G80" s="205">
        <f t="shared" si="35"/>
        <v>12.5</v>
      </c>
      <c r="H80" s="205">
        <f t="shared" si="36"/>
        <v>12.5</v>
      </c>
      <c r="I80" s="205">
        <f t="shared" si="37"/>
        <v>12.5</v>
      </c>
      <c r="J80" s="205">
        <f t="shared" si="38"/>
        <v>12.5</v>
      </c>
    </row>
    <row r="81" spans="1:10" s="2" customFormat="1">
      <c r="A81" s="4" t="s">
        <v>618</v>
      </c>
      <c r="B81" s="5" t="s">
        <v>457</v>
      </c>
      <c r="C81" s="196">
        <v>0</v>
      </c>
      <c r="D81" s="196">
        <v>0</v>
      </c>
      <c r="E81" s="198">
        <v>120</v>
      </c>
      <c r="F81" s="196">
        <v>140</v>
      </c>
      <c r="G81" s="205">
        <f t="shared" si="35"/>
        <v>35</v>
      </c>
      <c r="H81" s="205">
        <f t="shared" si="36"/>
        <v>35</v>
      </c>
      <c r="I81" s="205">
        <f t="shared" si="37"/>
        <v>35</v>
      </c>
      <c r="J81" s="205">
        <f t="shared" si="38"/>
        <v>35</v>
      </c>
    </row>
    <row r="82" spans="1:10" s="2" customFormat="1" ht="20.100000000000001" customHeight="1">
      <c r="A82" s="4" t="s">
        <v>462</v>
      </c>
      <c r="B82" s="5" t="s">
        <v>617</v>
      </c>
      <c r="C82" s="196">
        <v>98.8</v>
      </c>
      <c r="D82" s="196">
        <v>60</v>
      </c>
      <c r="E82" s="196">
        <f>E51-E52-E53-E54-E55-E56-E57-E58-E59-E60-E61-E62-E63-E64-E65-E66-E67-E68-E69-E70-E71-E72-E73</f>
        <v>0</v>
      </c>
      <c r="F82" s="196">
        <f t="shared" si="28"/>
        <v>60</v>
      </c>
      <c r="G82" s="196">
        <v>15</v>
      </c>
      <c r="H82" s="196">
        <v>15</v>
      </c>
      <c r="I82" s="196">
        <v>15</v>
      </c>
      <c r="J82" s="196">
        <v>15</v>
      </c>
    </row>
    <row r="83" spans="1:10" ht="20.100000000000001" customHeight="1">
      <c r="A83" s="245" t="s">
        <v>169</v>
      </c>
      <c r="B83" s="6">
        <v>1110</v>
      </c>
      <c r="C83" s="195">
        <v>893</v>
      </c>
      <c r="D83" s="195">
        <v>856</v>
      </c>
      <c r="E83" s="200">
        <f>SUM(E84:E93)</f>
        <v>1110</v>
      </c>
      <c r="F83" s="195">
        <f>SUM(G83:J83)</f>
        <v>1342</v>
      </c>
      <c r="G83" s="195">
        <f>SUM(G84:G93)</f>
        <v>335.5</v>
      </c>
      <c r="H83" s="195">
        <f t="shared" ref="H83:J83" si="39">SUM(H84:H93)</f>
        <v>335.5</v>
      </c>
      <c r="I83" s="195">
        <f t="shared" si="39"/>
        <v>335.5</v>
      </c>
      <c r="J83" s="195">
        <f t="shared" si="39"/>
        <v>335.5</v>
      </c>
    </row>
    <row r="84" spans="1:10" s="2" customFormat="1" ht="20.100000000000001" customHeight="1">
      <c r="A84" s="4" t="s">
        <v>138</v>
      </c>
      <c r="B84" s="5">
        <v>1111</v>
      </c>
      <c r="C84" s="196">
        <v>0</v>
      </c>
      <c r="D84" s="196">
        <v>0</v>
      </c>
      <c r="E84" s="196">
        <v>0</v>
      </c>
      <c r="F84" s="196">
        <v>0</v>
      </c>
      <c r="G84" s="196">
        <v>0</v>
      </c>
      <c r="H84" s="196">
        <v>0</v>
      </c>
      <c r="I84" s="196">
        <v>0</v>
      </c>
      <c r="J84" s="196">
        <v>0</v>
      </c>
    </row>
    <row r="85" spans="1:10" s="2" customFormat="1" ht="20.100000000000001" customHeight="1">
      <c r="A85" s="4" t="s">
        <v>139</v>
      </c>
      <c r="B85" s="5">
        <v>1112</v>
      </c>
      <c r="C85" s="196">
        <v>0</v>
      </c>
      <c r="D85" s="196">
        <v>0</v>
      </c>
      <c r="E85" s="196">
        <v>0</v>
      </c>
      <c r="F85" s="196">
        <v>0</v>
      </c>
      <c r="G85" s="196">
        <v>0</v>
      </c>
      <c r="H85" s="196">
        <v>0</v>
      </c>
      <c r="I85" s="196">
        <v>0</v>
      </c>
      <c r="J85" s="196">
        <v>0</v>
      </c>
    </row>
    <row r="86" spans="1:10" s="2" customFormat="1" ht="20.100000000000001" customHeight="1">
      <c r="A86" s="4" t="s">
        <v>22</v>
      </c>
      <c r="B86" s="5">
        <v>1113</v>
      </c>
      <c r="C86" s="196">
        <v>521.6</v>
      </c>
      <c r="D86" s="196">
        <v>636</v>
      </c>
      <c r="E86" s="198">
        <v>700</v>
      </c>
      <c r="F86" s="196">
        <v>840</v>
      </c>
      <c r="G86" s="205">
        <f t="shared" ref="G86:G93" si="40">F86/4</f>
        <v>210</v>
      </c>
      <c r="H86" s="205">
        <f t="shared" ref="H86:H93" si="41">G86</f>
        <v>210</v>
      </c>
      <c r="I86" s="205">
        <f t="shared" ref="I86:I93" si="42">G86</f>
        <v>210</v>
      </c>
      <c r="J86" s="205">
        <f t="shared" ref="J86:J93" si="43">G86</f>
        <v>210</v>
      </c>
    </row>
    <row r="87" spans="1:10" s="2" customFormat="1" ht="20.100000000000001" customHeight="1">
      <c r="A87" s="4" t="s">
        <v>45</v>
      </c>
      <c r="B87" s="5">
        <v>1114</v>
      </c>
      <c r="C87" s="196">
        <v>17.3</v>
      </c>
      <c r="D87" s="196">
        <v>0</v>
      </c>
      <c r="E87" s="196">
        <v>25</v>
      </c>
      <c r="F87" s="196">
        <v>36</v>
      </c>
      <c r="G87" s="205">
        <f t="shared" si="40"/>
        <v>9</v>
      </c>
      <c r="H87" s="205">
        <f t="shared" si="41"/>
        <v>9</v>
      </c>
      <c r="I87" s="205">
        <f t="shared" si="42"/>
        <v>9</v>
      </c>
      <c r="J87" s="205">
        <f t="shared" si="43"/>
        <v>9</v>
      </c>
    </row>
    <row r="88" spans="1:10" s="2" customFormat="1" ht="20.100000000000001" customHeight="1">
      <c r="A88" s="4" t="s">
        <v>620</v>
      </c>
      <c r="B88" s="5">
        <v>1115</v>
      </c>
      <c r="C88" s="196">
        <v>4.8</v>
      </c>
      <c r="D88" s="196">
        <v>4</v>
      </c>
      <c r="E88" s="198">
        <v>10</v>
      </c>
      <c r="F88" s="196">
        <v>36</v>
      </c>
      <c r="G88" s="205">
        <f t="shared" si="40"/>
        <v>9</v>
      </c>
      <c r="H88" s="205">
        <f t="shared" si="41"/>
        <v>9</v>
      </c>
      <c r="I88" s="205">
        <f t="shared" si="42"/>
        <v>9</v>
      </c>
      <c r="J88" s="205">
        <f t="shared" si="43"/>
        <v>9</v>
      </c>
    </row>
    <row r="89" spans="1:10" s="2" customFormat="1" ht="19.5" customHeight="1">
      <c r="A89" s="4" t="s">
        <v>604</v>
      </c>
      <c r="B89" s="5">
        <v>1116</v>
      </c>
      <c r="C89" s="196">
        <v>110.6</v>
      </c>
      <c r="D89" s="196">
        <v>140</v>
      </c>
      <c r="E89" s="198">
        <v>155</v>
      </c>
      <c r="F89" s="196">
        <v>186</v>
      </c>
      <c r="G89" s="205">
        <f t="shared" si="40"/>
        <v>46.5</v>
      </c>
      <c r="H89" s="205">
        <f t="shared" si="41"/>
        <v>46.5</v>
      </c>
      <c r="I89" s="205">
        <f t="shared" si="42"/>
        <v>46.5</v>
      </c>
      <c r="J89" s="205">
        <f t="shared" si="43"/>
        <v>46.5</v>
      </c>
    </row>
    <row r="90" spans="1:10" s="2" customFormat="1" ht="20.100000000000001" customHeight="1">
      <c r="A90" s="4" t="s">
        <v>425</v>
      </c>
      <c r="B90" s="5">
        <v>1117</v>
      </c>
      <c r="C90" s="196">
        <v>13.3</v>
      </c>
      <c r="D90" s="196">
        <v>12</v>
      </c>
      <c r="E90" s="198">
        <v>15</v>
      </c>
      <c r="F90" s="196">
        <v>16</v>
      </c>
      <c r="G90" s="205">
        <f t="shared" si="40"/>
        <v>4</v>
      </c>
      <c r="H90" s="205">
        <f t="shared" si="41"/>
        <v>4</v>
      </c>
      <c r="I90" s="205">
        <f t="shared" si="42"/>
        <v>4</v>
      </c>
      <c r="J90" s="205">
        <f t="shared" si="43"/>
        <v>4</v>
      </c>
    </row>
    <row r="91" spans="1:10" s="2" customFormat="1" ht="20.100000000000001" customHeight="1">
      <c r="A91" s="87" t="s">
        <v>426</v>
      </c>
      <c r="B91" s="5">
        <v>1118</v>
      </c>
      <c r="C91" s="208">
        <v>58.3</v>
      </c>
      <c r="D91" s="196">
        <v>60</v>
      </c>
      <c r="E91" s="198">
        <v>80</v>
      </c>
      <c r="F91" s="196">
        <v>90</v>
      </c>
      <c r="G91" s="205">
        <f t="shared" si="40"/>
        <v>22.5</v>
      </c>
      <c r="H91" s="205">
        <f t="shared" si="41"/>
        <v>22.5</v>
      </c>
      <c r="I91" s="205">
        <f t="shared" si="42"/>
        <v>22.5</v>
      </c>
      <c r="J91" s="205">
        <f t="shared" si="43"/>
        <v>22.5</v>
      </c>
    </row>
    <row r="92" spans="1:10" s="2" customFormat="1" ht="42" customHeight="1">
      <c r="A92" s="7" t="s">
        <v>619</v>
      </c>
      <c r="B92" s="5">
        <v>1119</v>
      </c>
      <c r="C92" s="208">
        <f>C83-C84-C85-C86-C87-C88-C89-C90-C91</f>
        <v>167.09999999999997</v>
      </c>
      <c r="D92" s="208">
        <v>4</v>
      </c>
      <c r="E92" s="208">
        <v>65</v>
      </c>
      <c r="F92" s="196">
        <v>68</v>
      </c>
      <c r="G92" s="205">
        <f t="shared" si="40"/>
        <v>17</v>
      </c>
      <c r="H92" s="205">
        <f t="shared" si="41"/>
        <v>17</v>
      </c>
      <c r="I92" s="205">
        <f t="shared" si="42"/>
        <v>17</v>
      </c>
      <c r="J92" s="205">
        <f t="shared" si="43"/>
        <v>17</v>
      </c>
    </row>
    <row r="93" spans="1:10" s="2" customFormat="1">
      <c r="A93" s="4" t="s">
        <v>618</v>
      </c>
      <c r="B93" s="5">
        <v>1120</v>
      </c>
      <c r="C93" s="208">
        <v>0</v>
      </c>
      <c r="D93" s="208">
        <v>0</v>
      </c>
      <c r="E93" s="208">
        <v>60</v>
      </c>
      <c r="F93" s="196">
        <v>70</v>
      </c>
      <c r="G93" s="205">
        <f t="shared" si="40"/>
        <v>17.5</v>
      </c>
      <c r="H93" s="205">
        <f t="shared" si="41"/>
        <v>17.5</v>
      </c>
      <c r="I93" s="205">
        <f t="shared" si="42"/>
        <v>17.5</v>
      </c>
      <c r="J93" s="205">
        <f t="shared" si="43"/>
        <v>17.5</v>
      </c>
    </row>
    <row r="94" spans="1:10" s="2" customFormat="1" ht="20.100000000000001" customHeight="1">
      <c r="A94" s="252" t="s">
        <v>61</v>
      </c>
      <c r="B94" s="6">
        <v>1120</v>
      </c>
      <c r="C94" s="195">
        <v>122</v>
      </c>
      <c r="D94" s="195">
        <v>148</v>
      </c>
      <c r="E94" s="200">
        <v>112</v>
      </c>
      <c r="F94" s="195">
        <f>SUM(F95:F99)</f>
        <v>116</v>
      </c>
      <c r="G94" s="195">
        <f t="shared" ref="G94:J94" si="44">SUM(G95:G99)</f>
        <v>29</v>
      </c>
      <c r="H94" s="195">
        <f t="shared" si="44"/>
        <v>29</v>
      </c>
      <c r="I94" s="195">
        <f t="shared" si="44"/>
        <v>29</v>
      </c>
      <c r="J94" s="195">
        <f t="shared" si="44"/>
        <v>29</v>
      </c>
    </row>
    <row r="95" spans="1:10" s="2" customFormat="1" ht="20.100000000000001" customHeight="1">
      <c r="A95" s="4" t="s">
        <v>52</v>
      </c>
      <c r="B95" s="5">
        <v>1121</v>
      </c>
      <c r="C95" s="196">
        <v>1.8</v>
      </c>
      <c r="D95" s="196">
        <v>4</v>
      </c>
      <c r="E95" s="196">
        <v>5</v>
      </c>
      <c r="F95" s="196">
        <v>10</v>
      </c>
      <c r="G95" s="205">
        <f>F95/4</f>
        <v>2.5</v>
      </c>
      <c r="H95" s="205">
        <f>G95</f>
        <v>2.5</v>
      </c>
      <c r="I95" s="205">
        <f>G95</f>
        <v>2.5</v>
      </c>
      <c r="J95" s="205">
        <f>G95</f>
        <v>2.5</v>
      </c>
    </row>
    <row r="96" spans="1:10" s="2" customFormat="1" ht="20.100000000000001" customHeight="1">
      <c r="A96" s="4" t="s">
        <v>33</v>
      </c>
      <c r="B96" s="5">
        <v>1122</v>
      </c>
      <c r="C96" s="196">
        <v>0</v>
      </c>
      <c r="D96" s="196">
        <v>0</v>
      </c>
      <c r="E96" s="196">
        <v>0</v>
      </c>
      <c r="F96" s="196">
        <f>SUM(G96:J96)</f>
        <v>0</v>
      </c>
      <c r="G96" s="196">
        <v>0</v>
      </c>
      <c r="H96" s="196">
        <v>0</v>
      </c>
      <c r="I96" s="196">
        <v>0</v>
      </c>
      <c r="J96" s="196">
        <v>0</v>
      </c>
    </row>
    <row r="97" spans="1:10" s="2" customFormat="1" ht="20.100000000000001" customHeight="1">
      <c r="A97" s="4" t="s">
        <v>43</v>
      </c>
      <c r="B97" s="5">
        <v>1123</v>
      </c>
      <c r="C97" s="196">
        <v>0</v>
      </c>
      <c r="D97" s="196">
        <v>0</v>
      </c>
      <c r="E97" s="196">
        <v>0</v>
      </c>
      <c r="F97" s="196">
        <v>0</v>
      </c>
      <c r="G97" s="196">
        <v>0</v>
      </c>
      <c r="H97" s="196">
        <v>0</v>
      </c>
      <c r="I97" s="196">
        <v>0</v>
      </c>
      <c r="J97" s="196">
        <v>0</v>
      </c>
    </row>
    <row r="98" spans="1:10" s="2" customFormat="1" ht="20.100000000000001" customHeight="1">
      <c r="A98" s="4" t="s">
        <v>162</v>
      </c>
      <c r="B98" s="5">
        <v>1124</v>
      </c>
      <c r="C98" s="196">
        <v>0</v>
      </c>
      <c r="D98" s="196">
        <v>0</v>
      </c>
      <c r="E98" s="196">
        <v>0</v>
      </c>
      <c r="F98" s="196">
        <v>0</v>
      </c>
      <c r="G98" s="196">
        <v>0</v>
      </c>
      <c r="H98" s="196">
        <v>0</v>
      </c>
      <c r="I98" s="196">
        <v>0</v>
      </c>
      <c r="J98" s="196">
        <v>0</v>
      </c>
    </row>
    <row r="99" spans="1:10" s="2" customFormat="1" ht="20.100000000000001" customHeight="1">
      <c r="A99" s="4" t="s">
        <v>178</v>
      </c>
      <c r="B99" s="5">
        <v>1125</v>
      </c>
      <c r="C99" s="196">
        <f>SUM(C100:C105)</f>
        <v>96.2</v>
      </c>
      <c r="D99" s="196">
        <v>144</v>
      </c>
      <c r="E99" s="196">
        <f t="shared" ref="E99" si="45">SUM(E100:E105)</f>
        <v>86</v>
      </c>
      <c r="F99" s="196">
        <f>SUM(F100:F105)</f>
        <v>106</v>
      </c>
      <c r="G99" s="196">
        <f t="shared" ref="G99:J99" si="46">SUM(G100:G105)</f>
        <v>26.5</v>
      </c>
      <c r="H99" s="196">
        <f t="shared" si="46"/>
        <v>26.5</v>
      </c>
      <c r="I99" s="196">
        <f t="shared" si="46"/>
        <v>26.5</v>
      </c>
      <c r="J99" s="196">
        <f t="shared" si="46"/>
        <v>26.5</v>
      </c>
    </row>
    <row r="100" spans="1:10" s="2" customFormat="1" ht="20.100000000000001" customHeight="1">
      <c r="A100" s="85" t="s">
        <v>460</v>
      </c>
      <c r="B100" s="88" t="s">
        <v>427</v>
      </c>
      <c r="C100" s="196">
        <v>11</v>
      </c>
      <c r="D100" s="196">
        <v>60</v>
      </c>
      <c r="E100" s="198">
        <v>6</v>
      </c>
      <c r="F100" s="196">
        <v>12</v>
      </c>
      <c r="G100" s="205">
        <f>F100/4</f>
        <v>3</v>
      </c>
      <c r="H100" s="205">
        <f>G100</f>
        <v>3</v>
      </c>
      <c r="I100" s="205">
        <f>G100</f>
        <v>3</v>
      </c>
      <c r="J100" s="205">
        <f>G100</f>
        <v>3</v>
      </c>
    </row>
    <row r="101" spans="1:10" s="2" customFormat="1" ht="20.100000000000001" customHeight="1">
      <c r="A101" s="85" t="s">
        <v>413</v>
      </c>
      <c r="B101" s="88" t="s">
        <v>428</v>
      </c>
      <c r="C101" s="196">
        <v>16</v>
      </c>
      <c r="D101" s="196">
        <v>20</v>
      </c>
      <c r="E101" s="198">
        <v>16</v>
      </c>
      <c r="F101" s="196">
        <v>24</v>
      </c>
      <c r="G101" s="205">
        <f>F101/4</f>
        <v>6</v>
      </c>
      <c r="H101" s="205">
        <f>G101</f>
        <v>6</v>
      </c>
      <c r="I101" s="205">
        <f>G101</f>
        <v>6</v>
      </c>
      <c r="J101" s="205">
        <f>G101</f>
        <v>6</v>
      </c>
    </row>
    <row r="102" spans="1:10" s="2" customFormat="1" ht="20.100000000000001" customHeight="1">
      <c r="A102" s="85" t="s">
        <v>429</v>
      </c>
      <c r="B102" s="88" t="s">
        <v>430</v>
      </c>
      <c r="C102" s="196">
        <v>0.5</v>
      </c>
      <c r="D102" s="196">
        <v>0</v>
      </c>
      <c r="E102" s="196">
        <v>0</v>
      </c>
      <c r="F102" s="196">
        <v>0</v>
      </c>
      <c r="G102" s="196">
        <v>0</v>
      </c>
      <c r="H102" s="196">
        <v>0</v>
      </c>
      <c r="I102" s="196">
        <v>0</v>
      </c>
      <c r="J102" s="196">
        <v>0</v>
      </c>
    </row>
    <row r="103" spans="1:10" s="2" customFormat="1" ht="20.100000000000001" customHeight="1">
      <c r="A103" s="85" t="s">
        <v>431</v>
      </c>
      <c r="B103" s="88" t="s">
        <v>432</v>
      </c>
      <c r="C103" s="196">
        <v>11.4</v>
      </c>
      <c r="D103" s="196">
        <v>4</v>
      </c>
      <c r="E103" s="198">
        <v>4</v>
      </c>
      <c r="F103" s="196">
        <v>6</v>
      </c>
      <c r="G103" s="205">
        <f>F103/4</f>
        <v>1.5</v>
      </c>
      <c r="H103" s="205">
        <f>G103</f>
        <v>1.5</v>
      </c>
      <c r="I103" s="205">
        <f>G103</f>
        <v>1.5</v>
      </c>
      <c r="J103" s="205">
        <f>G103</f>
        <v>1.5</v>
      </c>
    </row>
    <row r="104" spans="1:10" s="2" customFormat="1" ht="37.5">
      <c r="A104" s="85" t="s">
        <v>447</v>
      </c>
      <c r="B104" s="88" t="s">
        <v>433</v>
      </c>
      <c r="C104" s="196">
        <v>26.5</v>
      </c>
      <c r="D104" s="196">
        <v>28</v>
      </c>
      <c r="E104" s="198">
        <v>35</v>
      </c>
      <c r="F104" s="196">
        <v>36</v>
      </c>
      <c r="G104" s="205">
        <f>F104/4</f>
        <v>9</v>
      </c>
      <c r="H104" s="205">
        <f>G104</f>
        <v>9</v>
      </c>
      <c r="I104" s="205">
        <f>G104</f>
        <v>9</v>
      </c>
      <c r="J104" s="205">
        <f>G104</f>
        <v>9</v>
      </c>
    </row>
    <row r="105" spans="1:10" s="2" customFormat="1">
      <c r="A105" s="85" t="s">
        <v>434</v>
      </c>
      <c r="B105" s="88" t="s">
        <v>435</v>
      </c>
      <c r="C105" s="196">
        <v>30.8</v>
      </c>
      <c r="D105" s="196">
        <v>32</v>
      </c>
      <c r="E105" s="198">
        <v>25</v>
      </c>
      <c r="F105" s="196">
        <v>28</v>
      </c>
      <c r="G105" s="205">
        <f>F105/4</f>
        <v>7</v>
      </c>
      <c r="H105" s="205">
        <f>G105</f>
        <v>7</v>
      </c>
      <c r="I105" s="205">
        <f>G105</f>
        <v>7</v>
      </c>
      <c r="J105" s="205">
        <f>G105</f>
        <v>7</v>
      </c>
    </row>
    <row r="106" spans="1:10" s="107" customFormat="1" ht="44.25" customHeight="1">
      <c r="A106" s="245" t="s">
        <v>233</v>
      </c>
      <c r="B106" s="253">
        <v>1130</v>
      </c>
      <c r="C106" s="195">
        <f t="shared" ref="C106:J106" si="47">C48+C49-C51-C83-C94</f>
        <v>400</v>
      </c>
      <c r="D106" s="195">
        <f t="shared" si="47"/>
        <v>53.799999999999272</v>
      </c>
      <c r="E106" s="195">
        <f t="shared" si="47"/>
        <v>200.5</v>
      </c>
      <c r="F106" s="195">
        <f t="shared" si="47"/>
        <v>418.39999999999782</v>
      </c>
      <c r="G106" s="195">
        <f t="shared" si="47"/>
        <v>104.59999999999945</v>
      </c>
      <c r="H106" s="195">
        <f t="shared" si="47"/>
        <v>104.59999999999945</v>
      </c>
      <c r="I106" s="195">
        <f t="shared" si="47"/>
        <v>104.59999999999945</v>
      </c>
      <c r="J106" s="195">
        <f t="shared" si="47"/>
        <v>104.59999999999945</v>
      </c>
    </row>
    <row r="107" spans="1:10" ht="20.100000000000001" customHeight="1">
      <c r="A107" s="245" t="s">
        <v>83</v>
      </c>
      <c r="B107" s="6">
        <v>1140</v>
      </c>
      <c r="C107" s="201">
        <v>38</v>
      </c>
      <c r="D107" s="195">
        <v>28</v>
      </c>
      <c r="E107" s="201">
        <v>25</v>
      </c>
      <c r="F107" s="195">
        <v>24</v>
      </c>
      <c r="G107" s="196">
        <f>F107/4</f>
        <v>6</v>
      </c>
      <c r="H107" s="196">
        <f>G107</f>
        <v>6</v>
      </c>
      <c r="I107" s="196">
        <f>G107</f>
        <v>6</v>
      </c>
      <c r="J107" s="196">
        <f>G107</f>
        <v>6</v>
      </c>
    </row>
    <row r="108" spans="1:10" ht="20.100000000000001" customHeight="1">
      <c r="A108" s="245" t="s">
        <v>436</v>
      </c>
      <c r="B108" s="6">
        <v>1150</v>
      </c>
      <c r="C108" s="195">
        <v>3</v>
      </c>
      <c r="D108" s="195">
        <v>0</v>
      </c>
      <c r="E108" s="195">
        <v>0</v>
      </c>
      <c r="F108" s="195">
        <f>SUM(G108:J108)</f>
        <v>0</v>
      </c>
      <c r="G108" s="195">
        <v>0</v>
      </c>
      <c r="H108" s="195">
        <v>0</v>
      </c>
      <c r="I108" s="195">
        <v>0</v>
      </c>
      <c r="J108" s="195">
        <v>0</v>
      </c>
    </row>
    <row r="109" spans="1:10" ht="20.100000000000001" customHeight="1">
      <c r="A109" s="245" t="s">
        <v>163</v>
      </c>
      <c r="B109" s="6">
        <v>1160</v>
      </c>
      <c r="C109" s="201">
        <v>0</v>
      </c>
      <c r="D109" s="195">
        <v>0</v>
      </c>
      <c r="E109" s="254">
        <v>0</v>
      </c>
      <c r="F109" s="195">
        <f>SUM(G109:J109)</f>
        <v>0</v>
      </c>
      <c r="G109" s="195">
        <v>0</v>
      </c>
      <c r="H109" s="195">
        <v>0</v>
      </c>
      <c r="I109" s="195">
        <v>0</v>
      </c>
      <c r="J109" s="195">
        <v>0</v>
      </c>
    </row>
    <row r="110" spans="1:10" ht="20.100000000000001" customHeight="1">
      <c r="A110" s="4" t="s">
        <v>437</v>
      </c>
      <c r="B110" s="5">
        <v>1161</v>
      </c>
      <c r="C110" s="205">
        <v>0</v>
      </c>
      <c r="D110" s="196">
        <v>0</v>
      </c>
      <c r="E110" s="209">
        <v>0</v>
      </c>
      <c r="F110" s="196">
        <f>SUM(G110:J110)</f>
        <v>0</v>
      </c>
      <c r="G110" s="196">
        <v>0</v>
      </c>
      <c r="H110" s="196">
        <v>0</v>
      </c>
      <c r="I110" s="196">
        <v>0</v>
      </c>
      <c r="J110" s="196">
        <v>0</v>
      </c>
    </row>
    <row r="111" spans="1:10" ht="20.100000000000001" customHeight="1">
      <c r="A111" s="245" t="s">
        <v>164</v>
      </c>
      <c r="B111" s="6">
        <v>1170</v>
      </c>
      <c r="C111" s="195">
        <v>1</v>
      </c>
      <c r="D111" s="195">
        <v>0</v>
      </c>
      <c r="E111" s="201">
        <v>0</v>
      </c>
      <c r="F111" s="195">
        <v>0</v>
      </c>
      <c r="G111" s="195">
        <v>0</v>
      </c>
      <c r="H111" s="195">
        <v>0</v>
      </c>
      <c r="I111" s="195">
        <v>0</v>
      </c>
      <c r="J111" s="195">
        <v>0</v>
      </c>
    </row>
    <row r="112" spans="1:10" s="107" customFormat="1" ht="43.5" customHeight="1">
      <c r="A112" s="245" t="s">
        <v>234</v>
      </c>
      <c r="B112" s="6">
        <v>1200</v>
      </c>
      <c r="C112" s="200">
        <f t="shared" ref="C112:J112" si="48">C106+C107+C109-C108-C111</f>
        <v>434</v>
      </c>
      <c r="D112" s="200">
        <f t="shared" si="48"/>
        <v>81.799999999999272</v>
      </c>
      <c r="E112" s="200">
        <f t="shared" si="48"/>
        <v>225.5</v>
      </c>
      <c r="F112" s="200">
        <f t="shared" si="48"/>
        <v>442.39999999999782</v>
      </c>
      <c r="G112" s="200">
        <f t="shared" si="48"/>
        <v>110.59999999999945</v>
      </c>
      <c r="H112" s="200">
        <f t="shared" si="48"/>
        <v>110.59999999999945</v>
      </c>
      <c r="I112" s="200">
        <f t="shared" si="48"/>
        <v>110.59999999999945</v>
      </c>
      <c r="J112" s="200">
        <f t="shared" si="48"/>
        <v>110.59999999999945</v>
      </c>
    </row>
    <row r="113" spans="1:10" ht="20.100000000000001" customHeight="1">
      <c r="A113" s="4" t="s">
        <v>103</v>
      </c>
      <c r="B113" s="5">
        <v>1210</v>
      </c>
      <c r="C113" s="196">
        <v>78</v>
      </c>
      <c r="D113" s="196">
        <v>14.4</v>
      </c>
      <c r="E113" s="198">
        <v>41</v>
      </c>
      <c r="F113" s="196">
        <v>79.2</v>
      </c>
      <c r="G113" s="196">
        <f>F113/4</f>
        <v>19.8</v>
      </c>
      <c r="H113" s="196">
        <f>G113</f>
        <v>19.8</v>
      </c>
      <c r="I113" s="196">
        <f>G113</f>
        <v>19.8</v>
      </c>
      <c r="J113" s="196">
        <f>G113</f>
        <v>19.8</v>
      </c>
    </row>
    <row r="114" spans="1:10" ht="41.25" customHeight="1">
      <c r="A114" s="4" t="s">
        <v>104</v>
      </c>
      <c r="B114" s="5">
        <v>1220</v>
      </c>
      <c r="C114" s="196">
        <v>0</v>
      </c>
      <c r="D114" s="196">
        <v>0</v>
      </c>
      <c r="E114" s="196">
        <v>0</v>
      </c>
      <c r="F114" s="196">
        <v>0</v>
      </c>
      <c r="G114" s="196">
        <v>0</v>
      </c>
      <c r="H114" s="196">
        <v>0</v>
      </c>
      <c r="I114" s="196">
        <v>0</v>
      </c>
      <c r="J114" s="196">
        <v>0</v>
      </c>
    </row>
    <row r="115" spans="1:10" s="107" customFormat="1">
      <c r="A115" s="245" t="s">
        <v>236</v>
      </c>
      <c r="B115" s="6">
        <v>1230</v>
      </c>
      <c r="C115" s="195">
        <f t="shared" ref="C115:D115" si="49">C112-C113</f>
        <v>356</v>
      </c>
      <c r="D115" s="195">
        <f t="shared" si="49"/>
        <v>67.399999999999267</v>
      </c>
      <c r="E115" s="200">
        <f t="shared" ref="E115:J115" si="50">E112-E113</f>
        <v>184.5</v>
      </c>
      <c r="F115" s="195">
        <f t="shared" si="50"/>
        <v>363.19999999999783</v>
      </c>
      <c r="G115" s="195">
        <f t="shared" si="50"/>
        <v>90.799999999999457</v>
      </c>
      <c r="H115" s="195">
        <f t="shared" si="50"/>
        <v>90.799999999999457</v>
      </c>
      <c r="I115" s="195">
        <f t="shared" si="50"/>
        <v>90.799999999999457</v>
      </c>
      <c r="J115" s="195">
        <f t="shared" si="50"/>
        <v>90.799999999999457</v>
      </c>
    </row>
    <row r="116" spans="1:10" s="107" customFormat="1" ht="20.100000000000001" customHeight="1">
      <c r="A116" s="283" t="s">
        <v>194</v>
      </c>
      <c r="B116" s="283"/>
      <c r="C116" s="283"/>
      <c r="D116" s="283"/>
      <c r="E116" s="283"/>
      <c r="F116" s="283"/>
      <c r="G116" s="283"/>
      <c r="H116" s="283"/>
      <c r="I116" s="283"/>
      <c r="J116" s="283"/>
    </row>
    <row r="117" spans="1:10" ht="20.100000000000001" customHeight="1">
      <c r="A117" s="4" t="s">
        <v>6</v>
      </c>
      <c r="B117" s="5">
        <v>1240</v>
      </c>
      <c r="C117" s="210">
        <f t="shared" ref="C117:J117" si="51">C14+C49+C107+C109</f>
        <v>27143</v>
      </c>
      <c r="D117" s="210">
        <f t="shared" si="51"/>
        <v>30153.8</v>
      </c>
      <c r="E117" s="210">
        <f t="shared" si="51"/>
        <v>32500</v>
      </c>
      <c r="F117" s="210">
        <f t="shared" si="51"/>
        <v>35350</v>
      </c>
      <c r="G117" s="210">
        <f t="shared" si="51"/>
        <v>8837.5</v>
      </c>
      <c r="H117" s="210">
        <f t="shared" si="51"/>
        <v>8837.5</v>
      </c>
      <c r="I117" s="210">
        <f t="shared" si="51"/>
        <v>8837.5</v>
      </c>
      <c r="J117" s="210">
        <f t="shared" si="51"/>
        <v>8837.5</v>
      </c>
    </row>
    <row r="118" spans="1:10" ht="20.100000000000001" customHeight="1">
      <c r="A118" s="4" t="s">
        <v>88</v>
      </c>
      <c r="B118" s="5">
        <v>1250</v>
      </c>
      <c r="C118" s="210">
        <f t="shared" ref="C118:J118" si="52">C19+C51+C83+C94+C108+C111+C113</f>
        <v>26787</v>
      </c>
      <c r="D118" s="210">
        <f t="shared" si="52"/>
        <v>30086.400000000001</v>
      </c>
      <c r="E118" s="210">
        <f t="shared" si="52"/>
        <v>32315.5</v>
      </c>
      <c r="F118" s="210">
        <f t="shared" si="52"/>
        <v>34986.800000000003</v>
      </c>
      <c r="G118" s="210">
        <f t="shared" si="52"/>
        <v>8746.7000000000007</v>
      </c>
      <c r="H118" s="210">
        <f t="shared" si="52"/>
        <v>8746.7000000000007</v>
      </c>
      <c r="I118" s="210">
        <f t="shared" si="52"/>
        <v>8746.7000000000007</v>
      </c>
      <c r="J118" s="210">
        <f t="shared" si="52"/>
        <v>8746.7000000000007</v>
      </c>
    </row>
    <row r="119" spans="1:10" ht="20.100000000000001" customHeight="1">
      <c r="A119" s="283" t="s">
        <v>171</v>
      </c>
      <c r="B119" s="283"/>
      <c r="C119" s="283"/>
      <c r="D119" s="283"/>
      <c r="E119" s="283"/>
      <c r="F119" s="283"/>
      <c r="G119" s="283"/>
      <c r="H119" s="283"/>
      <c r="I119" s="283"/>
      <c r="J119" s="283"/>
    </row>
    <row r="120" spans="1:10" ht="20.100000000000001" customHeight="1">
      <c r="A120" s="4" t="s">
        <v>195</v>
      </c>
      <c r="B120" s="89">
        <v>1260</v>
      </c>
      <c r="C120" s="211">
        <v>2015</v>
      </c>
      <c r="D120" s="212">
        <v>2460</v>
      </c>
      <c r="E120" s="212">
        <f>E121+E122</f>
        <v>2144</v>
      </c>
      <c r="F120" s="212">
        <f>SUM(F121:F122)</f>
        <v>2490</v>
      </c>
      <c r="G120" s="212">
        <f t="shared" ref="G120:I120" si="53">SUM(G121:G122)</f>
        <v>622.5</v>
      </c>
      <c r="H120" s="212">
        <f t="shared" si="53"/>
        <v>622.5</v>
      </c>
      <c r="I120" s="212">
        <f t="shared" si="53"/>
        <v>622.5</v>
      </c>
      <c r="J120" s="212">
        <f>SUM(J121:J122)</f>
        <v>622.5</v>
      </c>
    </row>
    <row r="121" spans="1:10" ht="20.100000000000001" customHeight="1">
      <c r="A121" s="4" t="s">
        <v>193</v>
      </c>
      <c r="B121" s="89">
        <v>1261</v>
      </c>
      <c r="C121" s="211">
        <v>690.3</v>
      </c>
      <c r="D121" s="211">
        <v>440</v>
      </c>
      <c r="E121" s="211">
        <f>E25</f>
        <v>440</v>
      </c>
      <c r="F121" s="211">
        <f>F25</f>
        <v>480</v>
      </c>
      <c r="G121" s="211">
        <f t="shared" ref="G121:J121" si="54">G25</f>
        <v>120</v>
      </c>
      <c r="H121" s="211">
        <f t="shared" si="54"/>
        <v>120</v>
      </c>
      <c r="I121" s="211">
        <f t="shared" si="54"/>
        <v>120</v>
      </c>
      <c r="J121" s="211">
        <f t="shared" si="54"/>
        <v>120</v>
      </c>
    </row>
    <row r="122" spans="1:10" ht="20.100000000000001" customHeight="1">
      <c r="A122" s="4" t="s">
        <v>11</v>
      </c>
      <c r="B122" s="89">
        <v>1262</v>
      </c>
      <c r="C122" s="211">
        <v>1324.7</v>
      </c>
      <c r="D122" s="211">
        <v>2020</v>
      </c>
      <c r="E122" s="211">
        <f>E26+E77+E27</f>
        <v>1704</v>
      </c>
      <c r="F122" s="211">
        <f>F26+F77+F27</f>
        <v>2010</v>
      </c>
      <c r="G122" s="211">
        <f>F122/4</f>
        <v>502.5</v>
      </c>
      <c r="H122" s="211">
        <f t="shared" ref="H122:J124" si="55">G122</f>
        <v>502.5</v>
      </c>
      <c r="I122" s="211">
        <f t="shared" si="55"/>
        <v>502.5</v>
      </c>
      <c r="J122" s="211">
        <f t="shared" si="55"/>
        <v>502.5</v>
      </c>
    </row>
    <row r="123" spans="1:10" ht="20.100000000000001" customHeight="1">
      <c r="A123" s="4" t="s">
        <v>2</v>
      </c>
      <c r="B123" s="89">
        <v>1270</v>
      </c>
      <c r="C123" s="212">
        <v>3877</v>
      </c>
      <c r="D123" s="212">
        <v>4276</v>
      </c>
      <c r="E123" s="212">
        <f>E28+E59+E86+E105</f>
        <v>4385</v>
      </c>
      <c r="F123" s="212">
        <f>F28+F59+F86+F105</f>
        <v>4548</v>
      </c>
      <c r="G123" s="212">
        <f>F123/4</f>
        <v>1137</v>
      </c>
      <c r="H123" s="212">
        <f t="shared" si="55"/>
        <v>1137</v>
      </c>
      <c r="I123" s="212">
        <f t="shared" si="55"/>
        <v>1137</v>
      </c>
      <c r="J123" s="212">
        <f t="shared" si="55"/>
        <v>1137</v>
      </c>
    </row>
    <row r="124" spans="1:10" ht="20.100000000000001" customHeight="1">
      <c r="A124" s="4" t="s">
        <v>3</v>
      </c>
      <c r="B124" s="89">
        <v>1280</v>
      </c>
      <c r="C124" s="212">
        <v>789</v>
      </c>
      <c r="D124" s="212">
        <v>940</v>
      </c>
      <c r="E124" s="212">
        <f>E30+E60+E89</f>
        <v>926</v>
      </c>
      <c r="F124" s="212">
        <f>F30+F60+F89</f>
        <v>996</v>
      </c>
      <c r="G124" s="212">
        <f>F124/4</f>
        <v>249</v>
      </c>
      <c r="H124" s="212">
        <f t="shared" si="55"/>
        <v>249</v>
      </c>
      <c r="I124" s="212">
        <f t="shared" si="55"/>
        <v>249</v>
      </c>
      <c r="J124" s="212">
        <f t="shared" si="55"/>
        <v>249</v>
      </c>
    </row>
    <row r="125" spans="1:10" ht="20.100000000000001" customHeight="1">
      <c r="A125" s="4" t="s">
        <v>4</v>
      </c>
      <c r="B125" s="89">
        <v>1290</v>
      </c>
      <c r="C125" s="212">
        <v>1244</v>
      </c>
      <c r="D125" s="212">
        <v>676</v>
      </c>
      <c r="E125" s="212">
        <f>E33+E61+E87+E100</f>
        <v>456</v>
      </c>
      <c r="F125" s="212">
        <f>F33+F61</f>
        <v>476</v>
      </c>
      <c r="G125" s="212">
        <f>G33+G61</f>
        <v>119</v>
      </c>
      <c r="H125" s="212">
        <f>H33+H61</f>
        <v>119</v>
      </c>
      <c r="I125" s="212">
        <f>I33+I61</f>
        <v>119</v>
      </c>
      <c r="J125" s="212">
        <f>J33+J61</f>
        <v>119</v>
      </c>
    </row>
    <row r="126" spans="1:10" ht="20.100000000000001" customHeight="1">
      <c r="A126" s="4" t="s">
        <v>12</v>
      </c>
      <c r="B126" s="89">
        <v>1300</v>
      </c>
      <c r="C126" s="212">
        <v>18782</v>
      </c>
      <c r="D126" s="212">
        <v>21734.400000000001</v>
      </c>
      <c r="E126" s="212">
        <f>E127-E120-E123-E124-E125</f>
        <v>24404.5</v>
      </c>
      <c r="F126" s="212">
        <f t="shared" ref="F126:J126" si="56">F118-F120-F123-F124-F125</f>
        <v>26476.800000000003</v>
      </c>
      <c r="G126" s="212">
        <f t="shared" si="56"/>
        <v>6619.2000000000007</v>
      </c>
      <c r="H126" s="212">
        <f t="shared" si="56"/>
        <v>6619.2000000000007</v>
      </c>
      <c r="I126" s="212">
        <f t="shared" si="56"/>
        <v>6619.2000000000007</v>
      </c>
      <c r="J126" s="212">
        <f t="shared" si="56"/>
        <v>6619.2000000000007</v>
      </c>
    </row>
    <row r="127" spans="1:10" s="107" customFormat="1" ht="20.100000000000001" customHeight="1">
      <c r="A127" s="245" t="s">
        <v>39</v>
      </c>
      <c r="B127" s="90">
        <v>1310</v>
      </c>
      <c r="C127" s="212">
        <f t="shared" ref="C127" si="57">C120+C123+C124+C125+C126</f>
        <v>26707</v>
      </c>
      <c r="D127" s="212">
        <f t="shared" ref="D127" si="58">D120+D123+D124+D125+D126</f>
        <v>30086.400000000001</v>
      </c>
      <c r="E127" s="212">
        <f>E118</f>
        <v>32315.5</v>
      </c>
      <c r="F127" s="212">
        <f t="shared" ref="F127" si="59">F120+F123+F124+F125+F126</f>
        <v>34986.800000000003</v>
      </c>
      <c r="G127" s="212">
        <f>SUM(G120,G123:G126)</f>
        <v>8746.7000000000007</v>
      </c>
      <c r="H127" s="212">
        <f t="shared" ref="H127:J127" si="60">SUM(H120,H123:H126)</f>
        <v>8746.7000000000007</v>
      </c>
      <c r="I127" s="212">
        <f t="shared" si="60"/>
        <v>8746.7000000000007</v>
      </c>
      <c r="J127" s="212">
        <f t="shared" si="60"/>
        <v>8746.7000000000007</v>
      </c>
    </row>
    <row r="128" spans="1:10" s="107" customFormat="1" ht="20.100000000000001" customHeight="1">
      <c r="A128" s="21"/>
      <c r="B128" s="91"/>
      <c r="D128" s="92"/>
      <c r="E128" s="92"/>
      <c r="F128" s="92"/>
      <c r="G128" s="93"/>
      <c r="H128" s="93"/>
      <c r="I128" s="93"/>
      <c r="J128" s="93"/>
    </row>
    <row r="129" spans="1:10" s="107" customFormat="1" ht="15.75" customHeight="1">
      <c r="A129" s="21"/>
      <c r="B129" s="91"/>
      <c r="C129" s="92"/>
      <c r="D129" s="92"/>
      <c r="E129" s="92"/>
      <c r="F129" s="92"/>
      <c r="G129" s="93"/>
      <c r="H129" s="93"/>
      <c r="I129" s="93"/>
      <c r="J129" s="93"/>
    </row>
    <row r="130" spans="1:10" ht="16.5" customHeight="1">
      <c r="A130" s="15"/>
      <c r="C130" s="92"/>
      <c r="D130" s="241"/>
      <c r="E130" s="241"/>
      <c r="F130" s="94"/>
      <c r="G130" s="94"/>
      <c r="H130" s="94"/>
      <c r="I130" s="94"/>
      <c r="J130" s="94"/>
    </row>
    <row r="131" spans="1:10" s="107" customFormat="1" ht="19.5" customHeight="1">
      <c r="A131" s="54" t="s">
        <v>508</v>
      </c>
      <c r="B131" s="16"/>
      <c r="C131" s="284" t="s">
        <v>81</v>
      </c>
      <c r="D131" s="284"/>
      <c r="E131" s="284"/>
      <c r="F131" s="285"/>
      <c r="G131" s="68"/>
      <c r="H131" s="275" t="s">
        <v>520</v>
      </c>
      <c r="I131" s="275"/>
      <c r="J131" s="275"/>
    </row>
    <row r="132" spans="1:10" s="2" customFormat="1" ht="15.75" customHeight="1">
      <c r="A132" s="55" t="s">
        <v>59</v>
      </c>
      <c r="B132" s="52"/>
      <c r="C132" s="268" t="s">
        <v>60</v>
      </c>
      <c r="D132" s="268"/>
      <c r="E132" s="268"/>
      <c r="F132" s="268"/>
      <c r="G132" s="53"/>
      <c r="H132" s="268" t="s">
        <v>78</v>
      </c>
      <c r="I132" s="268"/>
      <c r="J132" s="268"/>
    </row>
    <row r="133" spans="1:10" ht="20.100000000000001" customHeight="1">
      <c r="A133" s="15"/>
      <c r="C133" s="241"/>
      <c r="D133" s="241"/>
      <c r="E133" s="241"/>
      <c r="F133" s="94"/>
      <c r="G133" s="94"/>
      <c r="H133" s="94"/>
      <c r="I133" s="94"/>
      <c r="J133" s="94"/>
    </row>
    <row r="134" spans="1:10">
      <c r="A134" s="15"/>
      <c r="C134" s="241"/>
      <c r="D134" s="241"/>
      <c r="E134" s="241"/>
      <c r="F134" s="94"/>
      <c r="G134" s="94"/>
      <c r="H134" s="94"/>
      <c r="I134" s="94"/>
      <c r="J134" s="94"/>
    </row>
    <row r="135" spans="1:10">
      <c r="A135" s="15"/>
      <c r="C135" s="241"/>
      <c r="D135" s="241"/>
      <c r="E135" s="241"/>
      <c r="F135" s="94"/>
      <c r="G135" s="94"/>
      <c r="H135" s="94"/>
      <c r="I135" s="94"/>
      <c r="J135" s="94"/>
    </row>
    <row r="136" spans="1:10">
      <c r="A136" s="15"/>
      <c r="C136" s="241"/>
      <c r="D136" s="241"/>
      <c r="E136" s="241"/>
      <c r="F136" s="94"/>
      <c r="G136" s="94"/>
      <c r="H136" s="94"/>
      <c r="I136" s="94"/>
      <c r="J136" s="94"/>
    </row>
    <row r="137" spans="1:10">
      <c r="A137" s="15"/>
      <c r="C137" s="241"/>
      <c r="D137" s="241"/>
      <c r="E137" s="241"/>
      <c r="F137" s="94"/>
      <c r="G137" s="94"/>
      <c r="H137" s="94"/>
      <c r="I137" s="94"/>
      <c r="J137" s="94"/>
    </row>
    <row r="138" spans="1:10">
      <c r="A138" s="15"/>
      <c r="C138" s="241"/>
      <c r="D138" s="241"/>
      <c r="E138" s="241"/>
      <c r="F138" s="94"/>
      <c r="G138" s="94"/>
      <c r="H138" s="94"/>
      <c r="I138" s="94"/>
      <c r="J138" s="94"/>
    </row>
    <row r="139" spans="1:10">
      <c r="A139" s="15"/>
      <c r="C139" s="241"/>
      <c r="D139" s="241"/>
      <c r="E139" s="241"/>
      <c r="F139" s="94"/>
      <c r="G139" s="94"/>
      <c r="H139" s="94"/>
      <c r="I139" s="94"/>
      <c r="J139" s="94"/>
    </row>
    <row r="140" spans="1:10">
      <c r="A140" s="15"/>
      <c r="C140" s="241"/>
      <c r="D140" s="241"/>
      <c r="E140" s="241"/>
      <c r="F140" s="94"/>
      <c r="G140" s="94"/>
      <c r="H140" s="94"/>
      <c r="I140" s="94"/>
      <c r="J140" s="94"/>
    </row>
    <row r="141" spans="1:10">
      <c r="A141" s="15"/>
      <c r="C141" s="241"/>
      <c r="D141" s="241"/>
      <c r="E141" s="241"/>
      <c r="F141" s="94"/>
      <c r="G141" s="94"/>
      <c r="H141" s="94"/>
      <c r="I141" s="94"/>
      <c r="J141" s="94"/>
    </row>
    <row r="142" spans="1:10">
      <c r="A142" s="15"/>
      <c r="C142" s="241"/>
      <c r="D142" s="241"/>
      <c r="E142" s="241"/>
      <c r="F142" s="94"/>
      <c r="G142" s="94"/>
      <c r="H142" s="94"/>
      <c r="I142" s="94"/>
      <c r="J142" s="94"/>
    </row>
    <row r="143" spans="1:10">
      <c r="A143" s="15"/>
      <c r="C143" s="241"/>
      <c r="D143" s="241"/>
      <c r="E143" s="241"/>
      <c r="F143" s="94"/>
      <c r="G143" s="94"/>
      <c r="H143" s="94"/>
      <c r="I143" s="94"/>
      <c r="J143" s="94"/>
    </row>
    <row r="144" spans="1:10">
      <c r="A144" s="15"/>
      <c r="C144" s="241"/>
      <c r="D144" s="241"/>
      <c r="E144" s="241"/>
      <c r="F144" s="94"/>
      <c r="G144" s="94"/>
      <c r="H144" s="94"/>
      <c r="I144" s="94"/>
      <c r="J144" s="94"/>
    </row>
    <row r="145" spans="1:10">
      <c r="A145" s="15"/>
      <c r="C145" s="241"/>
      <c r="D145" s="241"/>
      <c r="E145" s="241"/>
      <c r="F145" s="94"/>
      <c r="G145" s="94"/>
      <c r="H145" s="94"/>
      <c r="I145" s="94"/>
      <c r="J145" s="94"/>
    </row>
    <row r="146" spans="1:10">
      <c r="A146" s="15"/>
      <c r="C146" s="241"/>
      <c r="D146" s="241"/>
      <c r="E146" s="241"/>
      <c r="F146" s="94"/>
      <c r="G146" s="94"/>
      <c r="H146" s="94"/>
      <c r="I146" s="94"/>
      <c r="J146" s="94"/>
    </row>
    <row r="147" spans="1:10">
      <c r="A147" s="15"/>
      <c r="C147" s="241"/>
      <c r="D147" s="241"/>
      <c r="E147" s="241"/>
      <c r="F147" s="94"/>
      <c r="G147" s="94"/>
      <c r="H147" s="94"/>
      <c r="I147" s="94"/>
      <c r="J147" s="94"/>
    </row>
    <row r="148" spans="1:10">
      <c r="A148" s="15"/>
      <c r="C148" s="241"/>
      <c r="D148" s="241"/>
      <c r="E148" s="241"/>
      <c r="F148" s="94"/>
      <c r="G148" s="94"/>
      <c r="H148" s="94"/>
      <c r="I148" s="94"/>
      <c r="J148" s="94"/>
    </row>
    <row r="149" spans="1:10">
      <c r="A149" s="15"/>
      <c r="C149" s="241"/>
      <c r="D149" s="241"/>
      <c r="E149" s="241"/>
      <c r="F149" s="94"/>
      <c r="G149" s="94"/>
      <c r="H149" s="94"/>
      <c r="I149" s="94"/>
      <c r="J149" s="94"/>
    </row>
    <row r="150" spans="1:10">
      <c r="A150" s="15"/>
      <c r="C150" s="241"/>
      <c r="D150" s="241"/>
      <c r="E150" s="241"/>
      <c r="F150" s="94"/>
      <c r="G150" s="94"/>
      <c r="H150" s="94"/>
      <c r="I150" s="94"/>
      <c r="J150" s="94"/>
    </row>
    <row r="151" spans="1:10">
      <c r="A151" s="15"/>
      <c r="C151" s="241"/>
      <c r="D151" s="241"/>
      <c r="E151" s="241"/>
      <c r="F151" s="94"/>
      <c r="G151" s="94"/>
      <c r="H151" s="94"/>
      <c r="I151" s="94"/>
      <c r="J151" s="94"/>
    </row>
    <row r="152" spans="1:10">
      <c r="A152" s="15"/>
      <c r="C152" s="241"/>
      <c r="D152" s="241"/>
      <c r="E152" s="241"/>
      <c r="F152" s="94"/>
      <c r="G152" s="94"/>
      <c r="H152" s="94"/>
      <c r="I152" s="94"/>
      <c r="J152" s="94"/>
    </row>
    <row r="153" spans="1:10">
      <c r="A153" s="15"/>
      <c r="C153" s="241"/>
      <c r="D153" s="241"/>
      <c r="E153" s="241"/>
      <c r="F153" s="94"/>
      <c r="G153" s="94"/>
      <c r="H153" s="94"/>
      <c r="I153" s="94"/>
      <c r="J153" s="94"/>
    </row>
    <row r="154" spans="1:10">
      <c r="A154" s="15"/>
      <c r="C154" s="241"/>
      <c r="D154" s="241"/>
      <c r="E154" s="241"/>
      <c r="F154" s="94"/>
      <c r="G154" s="94"/>
      <c r="H154" s="94"/>
      <c r="I154" s="94"/>
      <c r="J154" s="94"/>
    </row>
    <row r="155" spans="1:10">
      <c r="A155" s="15"/>
      <c r="C155" s="241"/>
      <c r="D155" s="241"/>
      <c r="E155" s="241"/>
      <c r="F155" s="94"/>
      <c r="G155" s="94"/>
      <c r="H155" s="94"/>
      <c r="I155" s="94"/>
      <c r="J155" s="94"/>
    </row>
    <row r="156" spans="1:10">
      <c r="A156" s="15"/>
      <c r="C156" s="241"/>
      <c r="D156" s="241"/>
      <c r="E156" s="241"/>
      <c r="F156" s="94"/>
      <c r="G156" s="94"/>
      <c r="H156" s="94"/>
      <c r="I156" s="94"/>
      <c r="J156" s="94"/>
    </row>
    <row r="157" spans="1:10">
      <c r="A157" s="15"/>
      <c r="C157" s="241"/>
      <c r="D157" s="241"/>
      <c r="E157" s="241"/>
      <c r="F157" s="94"/>
      <c r="G157" s="94"/>
      <c r="H157" s="94"/>
      <c r="I157" s="94"/>
      <c r="J157" s="94"/>
    </row>
    <row r="158" spans="1:10">
      <c r="A158" s="15"/>
      <c r="C158" s="241"/>
      <c r="D158" s="241"/>
      <c r="E158" s="241"/>
      <c r="F158" s="94"/>
      <c r="G158" s="94"/>
      <c r="H158" s="94"/>
      <c r="I158" s="94"/>
      <c r="J158" s="94"/>
    </row>
    <row r="159" spans="1:10">
      <c r="A159" s="15"/>
      <c r="C159" s="241"/>
      <c r="D159" s="241"/>
      <c r="E159" s="241"/>
      <c r="F159" s="94"/>
      <c r="G159" s="94"/>
      <c r="H159" s="94"/>
      <c r="I159" s="94"/>
      <c r="J159" s="94"/>
    </row>
    <row r="160" spans="1:10">
      <c r="A160" s="15"/>
      <c r="C160" s="241"/>
      <c r="D160" s="241"/>
      <c r="E160" s="241"/>
      <c r="F160" s="94"/>
      <c r="G160" s="94"/>
      <c r="H160" s="94"/>
      <c r="I160" s="94"/>
      <c r="J160" s="94"/>
    </row>
    <row r="161" spans="1:10">
      <c r="A161" s="15"/>
      <c r="C161" s="241"/>
      <c r="D161" s="241"/>
      <c r="E161" s="241"/>
      <c r="F161" s="94"/>
      <c r="G161" s="94"/>
      <c r="H161" s="94"/>
      <c r="I161" s="94"/>
      <c r="J161" s="94"/>
    </row>
    <row r="162" spans="1:10">
      <c r="A162" s="15"/>
      <c r="C162" s="241"/>
      <c r="D162" s="241"/>
      <c r="E162" s="241"/>
      <c r="F162" s="94"/>
      <c r="G162" s="94"/>
      <c r="H162" s="94"/>
      <c r="I162" s="94"/>
      <c r="J162" s="94"/>
    </row>
    <row r="163" spans="1:10">
      <c r="A163" s="15"/>
      <c r="C163" s="241"/>
      <c r="D163" s="241"/>
      <c r="E163" s="241"/>
      <c r="F163" s="94"/>
      <c r="G163" s="94"/>
      <c r="H163" s="94"/>
      <c r="I163" s="94"/>
      <c r="J163" s="94"/>
    </row>
    <row r="164" spans="1:10">
      <c r="A164" s="15"/>
      <c r="C164" s="241"/>
      <c r="D164" s="241"/>
      <c r="E164" s="241"/>
      <c r="F164" s="94"/>
      <c r="G164" s="94"/>
      <c r="H164" s="94"/>
      <c r="I164" s="94"/>
      <c r="J164" s="94"/>
    </row>
    <row r="165" spans="1:10">
      <c r="A165" s="15"/>
      <c r="C165" s="241"/>
      <c r="D165" s="241"/>
      <c r="E165" s="241"/>
      <c r="F165" s="94"/>
      <c r="G165" s="94"/>
      <c r="H165" s="94"/>
      <c r="I165" s="94"/>
      <c r="J165" s="94"/>
    </row>
    <row r="166" spans="1:10">
      <c r="A166" s="15"/>
      <c r="C166" s="241"/>
      <c r="D166" s="241"/>
      <c r="E166" s="241"/>
      <c r="F166" s="94"/>
      <c r="G166" s="94"/>
      <c r="H166" s="94"/>
      <c r="I166" s="94"/>
      <c r="J166" s="94"/>
    </row>
    <row r="167" spans="1:10">
      <c r="A167" s="15"/>
      <c r="C167" s="241"/>
      <c r="D167" s="241"/>
      <c r="E167" s="241"/>
      <c r="F167" s="94"/>
      <c r="G167" s="94"/>
      <c r="H167" s="94"/>
      <c r="I167" s="94"/>
      <c r="J167" s="94"/>
    </row>
    <row r="168" spans="1:10">
      <c r="A168" s="15"/>
      <c r="C168" s="241"/>
      <c r="D168" s="241"/>
      <c r="E168" s="241"/>
      <c r="F168" s="94"/>
      <c r="G168" s="94"/>
      <c r="H168" s="94"/>
      <c r="I168" s="94"/>
      <c r="J168" s="94"/>
    </row>
    <row r="169" spans="1:10">
      <c r="A169" s="15"/>
      <c r="C169" s="241"/>
      <c r="D169" s="241"/>
      <c r="E169" s="241"/>
      <c r="F169" s="94"/>
      <c r="G169" s="94"/>
      <c r="H169" s="94"/>
      <c r="I169" s="94"/>
      <c r="J169" s="94"/>
    </row>
    <row r="170" spans="1:10">
      <c r="A170" s="15"/>
      <c r="C170" s="241"/>
      <c r="D170" s="241"/>
      <c r="E170" s="241"/>
      <c r="F170" s="94"/>
      <c r="G170" s="94"/>
      <c r="H170" s="94"/>
      <c r="I170" s="94"/>
      <c r="J170" s="94"/>
    </row>
    <row r="171" spans="1:10">
      <c r="A171" s="15"/>
      <c r="C171" s="241"/>
      <c r="D171" s="241"/>
      <c r="E171" s="241"/>
      <c r="F171" s="94"/>
      <c r="G171" s="94"/>
      <c r="H171" s="94"/>
      <c r="I171" s="94"/>
      <c r="J171" s="94"/>
    </row>
    <row r="172" spans="1:10">
      <c r="A172" s="15"/>
      <c r="C172" s="241"/>
      <c r="D172" s="241"/>
      <c r="E172" s="241"/>
      <c r="F172" s="94"/>
      <c r="G172" s="94"/>
      <c r="H172" s="94"/>
      <c r="I172" s="94"/>
      <c r="J172" s="94"/>
    </row>
    <row r="173" spans="1:10">
      <c r="A173" s="15"/>
      <c r="C173" s="241"/>
      <c r="D173" s="241"/>
      <c r="E173" s="241"/>
      <c r="F173" s="94"/>
      <c r="G173" s="94"/>
      <c r="H173" s="94"/>
      <c r="I173" s="94"/>
      <c r="J173" s="94"/>
    </row>
    <row r="174" spans="1:10">
      <c r="A174" s="15"/>
      <c r="C174" s="241"/>
      <c r="D174" s="241"/>
      <c r="E174" s="241"/>
      <c r="F174" s="94"/>
      <c r="G174" s="94"/>
      <c r="H174" s="94"/>
      <c r="I174" s="94"/>
      <c r="J174" s="94"/>
    </row>
    <row r="175" spans="1:10">
      <c r="A175" s="15"/>
      <c r="C175" s="241"/>
      <c r="D175" s="241"/>
      <c r="E175" s="241"/>
      <c r="F175" s="94"/>
      <c r="G175" s="94"/>
      <c r="H175" s="94"/>
      <c r="I175" s="94"/>
      <c r="J175" s="94"/>
    </row>
    <row r="176" spans="1:10">
      <c r="A176" s="15"/>
      <c r="C176" s="241"/>
      <c r="D176" s="241"/>
      <c r="E176" s="241"/>
      <c r="F176" s="94"/>
      <c r="G176" s="94"/>
      <c r="H176" s="94"/>
      <c r="I176" s="94"/>
      <c r="J176" s="94"/>
    </row>
    <row r="177" spans="1:10">
      <c r="A177" s="15"/>
      <c r="C177" s="241"/>
      <c r="D177" s="241"/>
      <c r="E177" s="241"/>
      <c r="F177" s="94"/>
      <c r="G177" s="94"/>
      <c r="H177" s="94"/>
      <c r="I177" s="94"/>
      <c r="J177" s="94"/>
    </row>
    <row r="178" spans="1:10">
      <c r="A178" s="15"/>
      <c r="C178" s="241"/>
      <c r="D178" s="241"/>
      <c r="E178" s="241"/>
      <c r="F178" s="94"/>
      <c r="G178" s="94"/>
      <c r="H178" s="94"/>
      <c r="I178" s="94"/>
      <c r="J178" s="94"/>
    </row>
    <row r="179" spans="1:10">
      <c r="A179" s="15"/>
      <c r="C179" s="241"/>
      <c r="D179" s="241"/>
      <c r="E179" s="241"/>
      <c r="F179" s="94"/>
      <c r="G179" s="94"/>
      <c r="H179" s="94"/>
      <c r="I179" s="94"/>
      <c r="J179" s="94"/>
    </row>
    <row r="180" spans="1:10">
      <c r="A180" s="15"/>
      <c r="C180" s="241"/>
      <c r="D180" s="241"/>
      <c r="E180" s="241"/>
      <c r="F180" s="94"/>
      <c r="G180" s="94"/>
      <c r="H180" s="94"/>
      <c r="I180" s="94"/>
      <c r="J180" s="94"/>
    </row>
    <row r="181" spans="1:10">
      <c r="A181" s="15"/>
      <c r="C181" s="241"/>
      <c r="D181" s="241"/>
      <c r="E181" s="241"/>
      <c r="F181" s="94"/>
      <c r="G181" s="94"/>
      <c r="H181" s="94"/>
      <c r="I181" s="94"/>
      <c r="J181" s="94"/>
    </row>
    <row r="182" spans="1:10">
      <c r="A182" s="15"/>
      <c r="C182" s="241"/>
      <c r="D182" s="241"/>
      <c r="E182" s="241"/>
      <c r="F182" s="94"/>
      <c r="G182" s="94"/>
      <c r="H182" s="94"/>
      <c r="I182" s="94"/>
      <c r="J182" s="94"/>
    </row>
    <row r="183" spans="1:10">
      <c r="A183" s="15"/>
      <c r="C183" s="241"/>
      <c r="D183" s="241"/>
      <c r="E183" s="241"/>
      <c r="F183" s="94"/>
      <c r="G183" s="94"/>
      <c r="H183" s="94"/>
      <c r="I183" s="94"/>
      <c r="J183" s="94"/>
    </row>
    <row r="184" spans="1:10">
      <c r="A184" s="15"/>
      <c r="C184" s="241"/>
      <c r="D184" s="241"/>
      <c r="E184" s="241"/>
      <c r="F184" s="94"/>
      <c r="G184" s="94"/>
      <c r="H184" s="94"/>
      <c r="I184" s="94"/>
      <c r="J184" s="94"/>
    </row>
    <row r="185" spans="1:10">
      <c r="A185" s="15"/>
      <c r="C185" s="241"/>
      <c r="D185" s="241"/>
      <c r="E185" s="241"/>
      <c r="F185" s="94"/>
      <c r="G185" s="94"/>
      <c r="H185" s="94"/>
      <c r="I185" s="94"/>
      <c r="J185" s="94"/>
    </row>
    <row r="186" spans="1:10">
      <c r="A186" s="15"/>
      <c r="C186" s="241"/>
      <c r="D186" s="241"/>
      <c r="E186" s="241"/>
      <c r="F186" s="94"/>
      <c r="G186" s="94"/>
      <c r="H186" s="94"/>
      <c r="I186" s="94"/>
      <c r="J186" s="94"/>
    </row>
    <row r="187" spans="1:10">
      <c r="A187" s="15"/>
      <c r="C187" s="241"/>
      <c r="D187" s="241"/>
      <c r="E187" s="241"/>
      <c r="F187" s="94"/>
      <c r="G187" s="94"/>
      <c r="H187" s="94"/>
      <c r="I187" s="94"/>
      <c r="J187" s="94"/>
    </row>
    <row r="188" spans="1:10">
      <c r="A188" s="15"/>
      <c r="C188" s="241"/>
      <c r="D188" s="241"/>
      <c r="E188" s="241"/>
      <c r="F188" s="94"/>
      <c r="G188" s="94"/>
      <c r="H188" s="94"/>
      <c r="I188" s="94"/>
      <c r="J188" s="94"/>
    </row>
    <row r="189" spans="1:10">
      <c r="A189" s="15"/>
      <c r="C189" s="241"/>
      <c r="D189" s="241"/>
      <c r="E189" s="241"/>
      <c r="F189" s="94"/>
      <c r="G189" s="94"/>
      <c r="H189" s="94"/>
      <c r="I189" s="94"/>
      <c r="J189" s="94"/>
    </row>
    <row r="190" spans="1:10">
      <c r="A190" s="15"/>
      <c r="C190" s="241"/>
      <c r="D190" s="241"/>
      <c r="E190" s="241"/>
      <c r="F190" s="94"/>
      <c r="G190" s="94"/>
      <c r="H190" s="94"/>
      <c r="I190" s="94"/>
      <c r="J190" s="94"/>
    </row>
    <row r="191" spans="1:10">
      <c r="A191" s="20"/>
      <c r="C191" s="241"/>
    </row>
    <row r="192" spans="1:10">
      <c r="A192" s="20"/>
    </row>
    <row r="193" spans="1:1">
      <c r="A193" s="20"/>
    </row>
    <row r="194" spans="1:1">
      <c r="A194" s="20"/>
    </row>
    <row r="195" spans="1:1">
      <c r="A195" s="20"/>
    </row>
    <row r="196" spans="1:1">
      <c r="A196" s="20"/>
    </row>
    <row r="197" spans="1:1">
      <c r="A197" s="20"/>
    </row>
    <row r="198" spans="1:1">
      <c r="A198" s="20"/>
    </row>
    <row r="199" spans="1:1">
      <c r="A199" s="20"/>
    </row>
    <row r="200" spans="1:1">
      <c r="A200" s="20"/>
    </row>
    <row r="201" spans="1:1">
      <c r="A201" s="20"/>
    </row>
    <row r="202" spans="1:1">
      <c r="A202" s="20"/>
    </row>
    <row r="203" spans="1:1">
      <c r="A203" s="20"/>
    </row>
    <row r="204" spans="1:1">
      <c r="A204" s="20"/>
    </row>
    <row r="205" spans="1:1">
      <c r="A205" s="20"/>
    </row>
    <row r="206" spans="1:1">
      <c r="A206" s="20"/>
    </row>
    <row r="207" spans="1:1">
      <c r="A207" s="20"/>
    </row>
    <row r="208" spans="1:1">
      <c r="A208" s="20"/>
    </row>
    <row r="209" spans="1:1">
      <c r="A209" s="20"/>
    </row>
    <row r="210" spans="1:1">
      <c r="A210" s="20"/>
    </row>
    <row r="211" spans="1:1">
      <c r="A211" s="20"/>
    </row>
    <row r="212" spans="1:1">
      <c r="A212" s="20"/>
    </row>
    <row r="213" spans="1:1">
      <c r="A213" s="20"/>
    </row>
    <row r="214" spans="1:1">
      <c r="A214" s="20"/>
    </row>
    <row r="215" spans="1:1">
      <c r="A215" s="20"/>
    </row>
    <row r="216" spans="1:1">
      <c r="A216" s="20"/>
    </row>
    <row r="217" spans="1:1">
      <c r="A217" s="20"/>
    </row>
    <row r="218" spans="1:1">
      <c r="A218" s="20"/>
    </row>
    <row r="219" spans="1:1">
      <c r="A219" s="20"/>
    </row>
    <row r="220" spans="1:1">
      <c r="A220" s="20"/>
    </row>
    <row r="221" spans="1:1">
      <c r="A221" s="20"/>
    </row>
    <row r="222" spans="1:1">
      <c r="A222" s="20"/>
    </row>
    <row r="223" spans="1:1">
      <c r="A223" s="20"/>
    </row>
    <row r="224" spans="1:1">
      <c r="A224" s="20"/>
    </row>
    <row r="225" spans="1:1">
      <c r="A225" s="20"/>
    </row>
    <row r="226" spans="1:1">
      <c r="A226" s="20"/>
    </row>
    <row r="227" spans="1:1">
      <c r="A227" s="20"/>
    </row>
    <row r="228" spans="1:1">
      <c r="A228" s="20"/>
    </row>
    <row r="229" spans="1:1">
      <c r="A229" s="20"/>
    </row>
    <row r="230" spans="1:1">
      <c r="A230" s="20"/>
    </row>
    <row r="231" spans="1:1">
      <c r="A231" s="20"/>
    </row>
    <row r="232" spans="1:1">
      <c r="A232" s="20"/>
    </row>
    <row r="233" spans="1:1">
      <c r="A233" s="20"/>
    </row>
    <row r="234" spans="1:1">
      <c r="A234" s="20"/>
    </row>
    <row r="235" spans="1:1">
      <c r="A235" s="20"/>
    </row>
    <row r="236" spans="1:1">
      <c r="A236" s="20"/>
    </row>
    <row r="237" spans="1:1">
      <c r="A237" s="20"/>
    </row>
    <row r="238" spans="1:1">
      <c r="A238" s="20"/>
    </row>
    <row r="239" spans="1:1">
      <c r="A239" s="20"/>
    </row>
    <row r="240" spans="1:1">
      <c r="A240" s="20"/>
    </row>
    <row r="241" spans="1:1">
      <c r="A241" s="20"/>
    </row>
    <row r="242" spans="1:1">
      <c r="A242" s="20"/>
    </row>
    <row r="243" spans="1:1">
      <c r="A243" s="20"/>
    </row>
    <row r="244" spans="1:1">
      <c r="A244" s="20"/>
    </row>
    <row r="245" spans="1:1">
      <c r="A245" s="20"/>
    </row>
    <row r="246" spans="1:1">
      <c r="A246" s="20"/>
    </row>
    <row r="247" spans="1:1">
      <c r="A247" s="20"/>
    </row>
    <row r="248" spans="1:1">
      <c r="A248" s="20"/>
    </row>
    <row r="249" spans="1:1">
      <c r="A249" s="20"/>
    </row>
    <row r="250" spans="1:1">
      <c r="A250" s="20"/>
    </row>
    <row r="251" spans="1:1">
      <c r="A251" s="20"/>
    </row>
    <row r="252" spans="1:1">
      <c r="A252" s="20"/>
    </row>
    <row r="253" spans="1:1">
      <c r="A253" s="20"/>
    </row>
    <row r="254" spans="1:1">
      <c r="A254" s="20"/>
    </row>
    <row r="255" spans="1:1">
      <c r="A255" s="20"/>
    </row>
    <row r="256" spans="1:1">
      <c r="A256" s="20"/>
    </row>
    <row r="257" spans="1:1">
      <c r="A257" s="20"/>
    </row>
    <row r="258" spans="1:1">
      <c r="A258" s="20"/>
    </row>
    <row r="259" spans="1:1">
      <c r="A259" s="20"/>
    </row>
    <row r="260" spans="1:1">
      <c r="A260" s="20"/>
    </row>
    <row r="261" spans="1:1">
      <c r="A261" s="20"/>
    </row>
    <row r="262" spans="1:1">
      <c r="A262" s="20"/>
    </row>
    <row r="263" spans="1:1">
      <c r="A263" s="20"/>
    </row>
    <row r="264" spans="1:1">
      <c r="A264" s="20"/>
    </row>
    <row r="265" spans="1:1">
      <c r="A265" s="20"/>
    </row>
    <row r="266" spans="1:1">
      <c r="A266" s="20"/>
    </row>
    <row r="267" spans="1:1">
      <c r="A267" s="20"/>
    </row>
    <row r="268" spans="1:1">
      <c r="A268" s="20"/>
    </row>
    <row r="269" spans="1:1">
      <c r="A269" s="20"/>
    </row>
    <row r="270" spans="1:1">
      <c r="A270" s="20"/>
    </row>
    <row r="271" spans="1:1">
      <c r="A271" s="20"/>
    </row>
    <row r="272" spans="1:1">
      <c r="A272" s="20"/>
    </row>
    <row r="273" spans="1:1">
      <c r="A273" s="20"/>
    </row>
    <row r="274" spans="1:1">
      <c r="A274" s="20"/>
    </row>
    <row r="275" spans="1:1">
      <c r="A275" s="20"/>
    </row>
    <row r="276" spans="1:1">
      <c r="A276" s="20"/>
    </row>
    <row r="277" spans="1:1">
      <c r="A277" s="20"/>
    </row>
    <row r="278" spans="1:1">
      <c r="A278" s="20"/>
    </row>
    <row r="279" spans="1:1">
      <c r="A279" s="20"/>
    </row>
    <row r="280" spans="1:1">
      <c r="A280" s="20"/>
    </row>
    <row r="281" spans="1:1">
      <c r="A281" s="20"/>
    </row>
    <row r="282" spans="1:1">
      <c r="A282" s="20"/>
    </row>
    <row r="283" spans="1:1">
      <c r="A283" s="20"/>
    </row>
    <row r="284" spans="1:1">
      <c r="A284" s="20"/>
    </row>
    <row r="285" spans="1:1">
      <c r="A285" s="20"/>
    </row>
    <row r="286" spans="1:1">
      <c r="A286" s="20"/>
    </row>
    <row r="287" spans="1:1">
      <c r="A287" s="20"/>
    </row>
    <row r="288" spans="1:1">
      <c r="A288" s="20"/>
    </row>
    <row r="289" spans="1:1">
      <c r="A289" s="20"/>
    </row>
    <row r="290" spans="1:1">
      <c r="A290" s="20"/>
    </row>
    <row r="291" spans="1:1">
      <c r="A291" s="20"/>
    </row>
    <row r="292" spans="1:1">
      <c r="A292" s="20"/>
    </row>
    <row r="293" spans="1:1">
      <c r="A293" s="20"/>
    </row>
    <row r="294" spans="1:1">
      <c r="A294" s="20"/>
    </row>
    <row r="295" spans="1:1">
      <c r="A295" s="20"/>
    </row>
    <row r="296" spans="1:1">
      <c r="A296" s="20"/>
    </row>
    <row r="297" spans="1:1">
      <c r="A297" s="20"/>
    </row>
    <row r="298" spans="1:1">
      <c r="A298" s="20"/>
    </row>
    <row r="299" spans="1:1">
      <c r="A299" s="20"/>
    </row>
    <row r="300" spans="1:1">
      <c r="A300" s="20"/>
    </row>
    <row r="301" spans="1:1">
      <c r="A301" s="20"/>
    </row>
    <row r="302" spans="1:1">
      <c r="A302" s="20"/>
    </row>
    <row r="303" spans="1:1">
      <c r="A303" s="20"/>
    </row>
    <row r="304" spans="1:1">
      <c r="A304" s="20"/>
    </row>
    <row r="305" spans="1:1">
      <c r="A305" s="20"/>
    </row>
    <row r="306" spans="1:1">
      <c r="A306" s="20"/>
    </row>
    <row r="307" spans="1:1">
      <c r="A307" s="20"/>
    </row>
    <row r="308" spans="1:1">
      <c r="A308" s="20"/>
    </row>
    <row r="309" spans="1:1">
      <c r="A309" s="20"/>
    </row>
    <row r="310" spans="1:1">
      <c r="A310" s="20"/>
    </row>
    <row r="311" spans="1:1">
      <c r="A311" s="20"/>
    </row>
    <row r="312" spans="1:1">
      <c r="A312" s="20"/>
    </row>
    <row r="313" spans="1:1">
      <c r="A313" s="20"/>
    </row>
    <row r="314" spans="1:1">
      <c r="A314" s="20"/>
    </row>
    <row r="315" spans="1:1">
      <c r="A315" s="20"/>
    </row>
    <row r="316" spans="1:1">
      <c r="A316" s="20"/>
    </row>
    <row r="317" spans="1:1">
      <c r="A317" s="20"/>
    </row>
    <row r="318" spans="1:1">
      <c r="A318" s="20"/>
    </row>
    <row r="319" spans="1:1">
      <c r="A319" s="20"/>
    </row>
    <row r="320" spans="1:1">
      <c r="A320" s="20"/>
    </row>
    <row r="321" spans="1:1">
      <c r="A321" s="20"/>
    </row>
    <row r="322" spans="1:1">
      <c r="A322" s="20"/>
    </row>
    <row r="323" spans="1:1">
      <c r="A323" s="20"/>
    </row>
    <row r="324" spans="1:1">
      <c r="A324" s="20"/>
    </row>
    <row r="325" spans="1:1">
      <c r="A325" s="20"/>
    </row>
    <row r="326" spans="1:1">
      <c r="A326" s="20"/>
    </row>
    <row r="327" spans="1:1">
      <c r="A327" s="20"/>
    </row>
    <row r="328" spans="1:1">
      <c r="A328" s="20"/>
    </row>
    <row r="329" spans="1:1">
      <c r="A329" s="20"/>
    </row>
    <row r="330" spans="1:1">
      <c r="A330" s="20"/>
    </row>
    <row r="331" spans="1:1">
      <c r="A331" s="20"/>
    </row>
    <row r="332" spans="1:1">
      <c r="A332" s="20"/>
    </row>
    <row r="333" spans="1:1">
      <c r="A333" s="20"/>
    </row>
    <row r="334" spans="1:1">
      <c r="A334" s="20"/>
    </row>
    <row r="335" spans="1:1">
      <c r="A335" s="20"/>
    </row>
    <row r="336" spans="1:1">
      <c r="A336" s="20"/>
    </row>
    <row r="337" spans="1:1">
      <c r="A337" s="20"/>
    </row>
    <row r="338" spans="1:1">
      <c r="A338" s="20"/>
    </row>
    <row r="339" spans="1:1">
      <c r="A339" s="20"/>
    </row>
    <row r="340" spans="1:1">
      <c r="A340" s="20"/>
    </row>
    <row r="341" spans="1:1">
      <c r="A341" s="20"/>
    </row>
    <row r="342" spans="1:1">
      <c r="A342" s="20"/>
    </row>
    <row r="343" spans="1:1">
      <c r="A343" s="20"/>
    </row>
    <row r="344" spans="1:1">
      <c r="A344" s="20"/>
    </row>
    <row r="345" spans="1:1">
      <c r="A345" s="20"/>
    </row>
    <row r="346" spans="1:1">
      <c r="A346" s="20"/>
    </row>
    <row r="347" spans="1:1">
      <c r="A347" s="20"/>
    </row>
    <row r="348" spans="1:1">
      <c r="A348" s="20"/>
    </row>
    <row r="349" spans="1:1">
      <c r="A349" s="20"/>
    </row>
    <row r="350" spans="1:1">
      <c r="A350" s="20"/>
    </row>
    <row r="351" spans="1:1">
      <c r="A351" s="20"/>
    </row>
    <row r="352" spans="1:1">
      <c r="A352" s="20"/>
    </row>
    <row r="353" spans="1:1">
      <c r="A353" s="20"/>
    </row>
    <row r="354" spans="1:1">
      <c r="A354" s="20"/>
    </row>
    <row r="355" spans="1:1">
      <c r="A355" s="20"/>
    </row>
    <row r="356" spans="1:1">
      <c r="A356" s="20"/>
    </row>
    <row r="357" spans="1:1">
      <c r="A357" s="20"/>
    </row>
  </sheetData>
  <mergeCells count="15">
    <mergeCell ref="A2:J2"/>
    <mergeCell ref="C132:F132"/>
    <mergeCell ref="H132:J132"/>
    <mergeCell ref="A7:J7"/>
    <mergeCell ref="A116:J116"/>
    <mergeCell ref="B4:B5"/>
    <mergeCell ref="A4:A5"/>
    <mergeCell ref="E4:E5"/>
    <mergeCell ref="C4:C5"/>
    <mergeCell ref="G4:J4"/>
    <mergeCell ref="A119:J119"/>
    <mergeCell ref="C131:F131"/>
    <mergeCell ref="H131:J131"/>
    <mergeCell ref="F4:F5"/>
    <mergeCell ref="D4:D5"/>
  </mergeCells>
  <phoneticPr fontId="0" type="noConversion"/>
  <pageMargins left="0.31496062992125984" right="0.11811023622047245" top="0.35433070866141736" bottom="0.35433070866141736" header="0.31496062992125984" footer="0.31496062992125984"/>
  <pageSetup paperSize="9" scale="48" firstPageNumber="2" orientation="portrait" useFirstPageNumber="1" r:id="rId1"/>
  <headerFooter alignWithMargins="0">
    <oddHeader xml:space="preserve">&amp;R&amp;"Times New Roman,обычный"&amp;14Таблиця 1
</oddHeader>
    <oddFooter>&amp;C&amp;P</oddFooter>
  </headerFooter>
  <rowBreaks count="1" manualBreakCount="1">
    <brk id="118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2:L194"/>
  <sheetViews>
    <sheetView view="pageBreakPreview" zoomScale="70" zoomScaleNormal="75" zoomScaleSheetLayoutView="70" zoomScalePageLayoutView="70" workbookViewId="0">
      <selection activeCell="F40" sqref="F40"/>
    </sheetView>
  </sheetViews>
  <sheetFormatPr defaultColWidth="77.85546875" defaultRowHeight="18.75" outlineLevelRow="1"/>
  <cols>
    <col min="1" max="1" width="56.7109375" style="213" customWidth="1"/>
    <col min="2" max="2" width="10.7109375" style="227" customWidth="1"/>
    <col min="3" max="5" width="15.85546875" style="227" customWidth="1"/>
    <col min="6" max="10" width="15.85546875" style="213" customWidth="1"/>
    <col min="11" max="11" width="10" style="213" customWidth="1"/>
    <col min="12" max="12" width="9.5703125" style="213" customWidth="1"/>
    <col min="13" max="255" width="9.140625" style="213" customWidth="1"/>
    <col min="256" max="16384" width="77.85546875" style="213"/>
  </cols>
  <sheetData>
    <row r="2" spans="1:10">
      <c r="A2" s="287" t="s">
        <v>114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outlineLevel="1">
      <c r="A3" s="214"/>
      <c r="B3" s="106"/>
      <c r="C3" s="214"/>
      <c r="D3" s="214"/>
      <c r="E3" s="214"/>
      <c r="F3" s="214"/>
      <c r="G3" s="214"/>
      <c r="H3" s="214"/>
      <c r="I3" s="214"/>
      <c r="J3" s="215" t="s">
        <v>507</v>
      </c>
    </row>
    <row r="4" spans="1:10" ht="38.25" customHeight="1">
      <c r="A4" s="269" t="s">
        <v>182</v>
      </c>
      <c r="B4" s="270" t="s">
        <v>5</v>
      </c>
      <c r="C4" s="271" t="s">
        <v>580</v>
      </c>
      <c r="D4" s="271" t="s">
        <v>598</v>
      </c>
      <c r="E4" s="271" t="s">
        <v>656</v>
      </c>
      <c r="F4" s="271" t="s">
        <v>599</v>
      </c>
      <c r="G4" s="270" t="s">
        <v>256</v>
      </c>
      <c r="H4" s="270"/>
      <c r="I4" s="270"/>
      <c r="J4" s="270"/>
    </row>
    <row r="5" spans="1:10" ht="36" customHeight="1">
      <c r="A5" s="269"/>
      <c r="B5" s="270"/>
      <c r="C5" s="272" t="s">
        <v>396</v>
      </c>
      <c r="D5" s="272"/>
      <c r="E5" s="272" t="s">
        <v>395</v>
      </c>
      <c r="F5" s="272" t="s">
        <v>394</v>
      </c>
      <c r="G5" s="71" t="s">
        <v>140</v>
      </c>
      <c r="H5" s="71" t="s">
        <v>141</v>
      </c>
      <c r="I5" s="71" t="s">
        <v>142</v>
      </c>
      <c r="J5" s="71" t="s">
        <v>54</v>
      </c>
    </row>
    <row r="6" spans="1:10" ht="18" customHeight="1">
      <c r="A6" s="216">
        <v>1</v>
      </c>
      <c r="B6" s="217">
        <v>2</v>
      </c>
      <c r="C6" s="217">
        <v>3</v>
      </c>
      <c r="D6" s="217">
        <v>4</v>
      </c>
      <c r="E6" s="217">
        <v>5</v>
      </c>
      <c r="F6" s="217">
        <v>6</v>
      </c>
      <c r="G6" s="217">
        <v>7</v>
      </c>
      <c r="H6" s="217">
        <v>8</v>
      </c>
      <c r="I6" s="217">
        <v>9</v>
      </c>
      <c r="J6" s="217">
        <v>10</v>
      </c>
    </row>
    <row r="7" spans="1:10" ht="24.95" customHeight="1">
      <c r="A7" s="286" t="s">
        <v>110</v>
      </c>
      <c r="B7" s="286"/>
      <c r="C7" s="286"/>
      <c r="D7" s="286"/>
      <c r="E7" s="286"/>
      <c r="F7" s="286"/>
      <c r="G7" s="286"/>
      <c r="H7" s="286"/>
      <c r="I7" s="286"/>
      <c r="J7" s="286"/>
    </row>
    <row r="8" spans="1:10" ht="57.75" customHeight="1">
      <c r="A8" s="19" t="s">
        <v>41</v>
      </c>
      <c r="B8" s="102">
        <v>2000</v>
      </c>
      <c r="C8" s="218">
        <v>-7394</v>
      </c>
      <c r="D8" s="218">
        <v>-7091</v>
      </c>
      <c r="E8" s="218">
        <f>-7091</f>
        <v>-7091</v>
      </c>
      <c r="F8" s="218">
        <f>E16</f>
        <v>-6939.5</v>
      </c>
      <c r="G8" s="218">
        <f>E16</f>
        <v>-6939.5</v>
      </c>
      <c r="H8" s="218">
        <f>G16</f>
        <v>-6865.2000000000007</v>
      </c>
      <c r="I8" s="218">
        <f>H16</f>
        <v>-6790.9000000000015</v>
      </c>
      <c r="J8" s="218">
        <f>I16</f>
        <v>-6716.6000000000022</v>
      </c>
    </row>
    <row r="9" spans="1:10" ht="39.75" customHeight="1">
      <c r="A9" s="19" t="s">
        <v>237</v>
      </c>
      <c r="B9" s="102">
        <v>2010</v>
      </c>
      <c r="C9" s="219">
        <v>65</v>
      </c>
      <c r="D9" s="220">
        <v>72</v>
      </c>
      <c r="E9" s="219">
        <v>33</v>
      </c>
      <c r="F9" s="219">
        <v>66</v>
      </c>
      <c r="G9" s="219">
        <f>F9/4</f>
        <v>16.5</v>
      </c>
      <c r="H9" s="219">
        <f>G9</f>
        <v>16.5</v>
      </c>
      <c r="I9" s="219">
        <f>H9</f>
        <v>16.5</v>
      </c>
      <c r="J9" s="219">
        <f>H9</f>
        <v>16.5</v>
      </c>
    </row>
    <row r="10" spans="1:10" ht="20.100000000000001" customHeight="1">
      <c r="A10" s="4" t="s">
        <v>143</v>
      </c>
      <c r="B10" s="102">
        <v>2020</v>
      </c>
      <c r="C10" s="219">
        <v>0</v>
      </c>
      <c r="D10" s="219">
        <v>0</v>
      </c>
      <c r="E10" s="219">
        <v>0</v>
      </c>
      <c r="F10" s="219">
        <v>0</v>
      </c>
      <c r="G10" s="219">
        <v>0</v>
      </c>
      <c r="H10" s="219">
        <v>0</v>
      </c>
      <c r="I10" s="219">
        <v>0</v>
      </c>
      <c r="J10" s="219">
        <v>0</v>
      </c>
    </row>
    <row r="11" spans="1:10" s="221" customFormat="1" ht="20.100000000000001" customHeight="1">
      <c r="A11" s="19" t="s">
        <v>51</v>
      </c>
      <c r="B11" s="102">
        <v>2030</v>
      </c>
      <c r="C11" s="219">
        <v>0</v>
      </c>
      <c r="D11" s="219">
        <v>0</v>
      </c>
      <c r="E11" s="219">
        <v>0</v>
      </c>
      <c r="F11" s="219">
        <v>0</v>
      </c>
      <c r="G11" s="219">
        <v>0</v>
      </c>
      <c r="H11" s="219">
        <v>0</v>
      </c>
      <c r="I11" s="219">
        <v>0</v>
      </c>
      <c r="J11" s="219">
        <v>0</v>
      </c>
    </row>
    <row r="12" spans="1:10" ht="37.5">
      <c r="A12" s="19" t="s">
        <v>98</v>
      </c>
      <c r="B12" s="102">
        <v>2031</v>
      </c>
      <c r="C12" s="219">
        <v>0</v>
      </c>
      <c r="D12" s="219">
        <v>0</v>
      </c>
      <c r="E12" s="219">
        <v>0</v>
      </c>
      <c r="F12" s="219">
        <v>0</v>
      </c>
      <c r="G12" s="219">
        <v>0</v>
      </c>
      <c r="H12" s="219">
        <v>0</v>
      </c>
      <c r="I12" s="219">
        <v>0</v>
      </c>
      <c r="J12" s="219">
        <v>0</v>
      </c>
    </row>
    <row r="13" spans="1:10" ht="20.100000000000001" customHeight="1">
      <c r="A13" s="19" t="s">
        <v>9</v>
      </c>
      <c r="B13" s="102">
        <v>2040</v>
      </c>
      <c r="C13" s="219">
        <v>0</v>
      </c>
      <c r="D13" s="219">
        <v>0</v>
      </c>
      <c r="E13" s="219">
        <v>0</v>
      </c>
      <c r="F13" s="219">
        <v>0</v>
      </c>
      <c r="G13" s="219">
        <v>0</v>
      </c>
      <c r="H13" s="219">
        <v>0</v>
      </c>
      <c r="I13" s="219">
        <v>0</v>
      </c>
      <c r="J13" s="219">
        <v>0</v>
      </c>
    </row>
    <row r="14" spans="1:10" ht="20.100000000000001" customHeight="1">
      <c r="A14" s="19" t="s">
        <v>86</v>
      </c>
      <c r="B14" s="102">
        <v>2050</v>
      </c>
      <c r="C14" s="219">
        <v>0</v>
      </c>
      <c r="D14" s="219">
        <v>0</v>
      </c>
      <c r="E14" s="219">
        <v>0</v>
      </c>
      <c r="F14" s="219">
        <v>0</v>
      </c>
      <c r="G14" s="219">
        <v>0</v>
      </c>
      <c r="H14" s="219">
        <v>0</v>
      </c>
      <c r="I14" s="219">
        <v>0</v>
      </c>
      <c r="J14" s="219">
        <v>0</v>
      </c>
    </row>
    <row r="15" spans="1:10" ht="20.100000000000001" customHeight="1">
      <c r="A15" s="19" t="s">
        <v>87</v>
      </c>
      <c r="B15" s="102">
        <v>2060</v>
      </c>
      <c r="C15" s="219">
        <v>0</v>
      </c>
      <c r="D15" s="219">
        <v>0</v>
      </c>
      <c r="E15" s="219">
        <v>0</v>
      </c>
      <c r="F15" s="219">
        <v>0</v>
      </c>
      <c r="G15" s="219">
        <v>0</v>
      </c>
      <c r="H15" s="219">
        <v>0</v>
      </c>
      <c r="I15" s="219">
        <v>0</v>
      </c>
      <c r="J15" s="219">
        <v>0</v>
      </c>
    </row>
    <row r="16" spans="1:10" ht="42.75" customHeight="1">
      <c r="A16" s="19" t="s">
        <v>42</v>
      </c>
      <c r="B16" s="102">
        <v>2070</v>
      </c>
      <c r="C16" s="219">
        <f>-7091</f>
        <v>-7091</v>
      </c>
      <c r="D16" s="219">
        <v>-7023.6</v>
      </c>
      <c r="E16" s="219">
        <f>E8+'1.Фінансовий результат'!E115-'2. Розрахунки з бюджетом'!E9</f>
        <v>-6939.5</v>
      </c>
      <c r="F16" s="219">
        <f>'1.Фінансовий результат'!F115-'2. Розрахунки з бюджетом'!F9+'2. Розрахунки з бюджетом'!F8</f>
        <v>-6642.300000000002</v>
      </c>
      <c r="G16" s="219">
        <f>'1.Фінансовий результат'!G115-'2. Розрахунки з бюджетом'!G9+'2. Розрахунки з бюджетом'!G8</f>
        <v>-6865.2000000000007</v>
      </c>
      <c r="H16" s="219">
        <f>'1.Фінансовий результат'!H115-'2. Розрахунки з бюджетом'!H9+'2. Розрахунки з бюджетом'!H8</f>
        <v>-6790.9000000000015</v>
      </c>
      <c r="I16" s="219">
        <f>'1.Фінансовий результат'!I115-'2. Розрахунки з бюджетом'!I9+'2. Розрахунки з бюджетом'!I8</f>
        <v>-6716.6000000000022</v>
      </c>
      <c r="J16" s="219">
        <f>'1.Фінансовий результат'!J115-'2. Розрахунки з бюджетом'!J9+'2. Розрахунки з бюджетом'!J8</f>
        <v>-6642.3000000000029</v>
      </c>
    </row>
    <row r="17" spans="1:10" ht="20.100000000000001" customHeight="1">
      <c r="A17" s="286" t="s">
        <v>111</v>
      </c>
      <c r="B17" s="286"/>
      <c r="C17" s="286"/>
      <c r="D17" s="286"/>
      <c r="E17" s="286"/>
      <c r="F17" s="286"/>
      <c r="G17" s="286"/>
      <c r="H17" s="286"/>
      <c r="I17" s="286"/>
      <c r="J17" s="286"/>
    </row>
    <row r="18" spans="1:10" ht="40.5" customHeight="1">
      <c r="A18" s="19" t="s">
        <v>237</v>
      </c>
      <c r="B18" s="102">
        <v>2100</v>
      </c>
      <c r="C18" s="219">
        <f>C9</f>
        <v>65</v>
      </c>
      <c r="D18" s="220">
        <v>72</v>
      </c>
      <c r="E18" s="219">
        <f>E9</f>
        <v>33</v>
      </c>
      <c r="F18" s="219">
        <f>SUM(G18:J18)</f>
        <v>66</v>
      </c>
      <c r="G18" s="219">
        <f>G9</f>
        <v>16.5</v>
      </c>
      <c r="H18" s="219">
        <f t="shared" ref="H18:J18" si="0">H9</f>
        <v>16.5</v>
      </c>
      <c r="I18" s="219">
        <f t="shared" si="0"/>
        <v>16.5</v>
      </c>
      <c r="J18" s="219">
        <f t="shared" si="0"/>
        <v>16.5</v>
      </c>
    </row>
    <row r="19" spans="1:10" s="221" customFormat="1" ht="20.100000000000001" customHeight="1">
      <c r="A19" s="19" t="s">
        <v>113</v>
      </c>
      <c r="B19" s="217">
        <v>2110</v>
      </c>
      <c r="C19" s="219">
        <f>'1.Фінансовий результат'!C113</f>
        <v>78</v>
      </c>
      <c r="D19" s="219">
        <v>14.4</v>
      </c>
      <c r="E19" s="219">
        <f>'1.Фінансовий результат'!E113</f>
        <v>41</v>
      </c>
      <c r="F19" s="219">
        <f>'1.Фінансовий результат'!F113</f>
        <v>79.2</v>
      </c>
      <c r="G19" s="219">
        <f>$F$19/4</f>
        <v>19.8</v>
      </c>
      <c r="H19" s="219">
        <f t="shared" ref="H19:J19" si="1">$F$19/4</f>
        <v>19.8</v>
      </c>
      <c r="I19" s="219">
        <f t="shared" si="1"/>
        <v>19.8</v>
      </c>
      <c r="J19" s="219">
        <f t="shared" si="1"/>
        <v>19.8</v>
      </c>
    </row>
    <row r="20" spans="1:10" ht="56.25">
      <c r="A20" s="19" t="s">
        <v>209</v>
      </c>
      <c r="B20" s="217">
        <v>2120</v>
      </c>
      <c r="C20" s="219">
        <v>1412</v>
      </c>
      <c r="D20" s="219">
        <v>1520</v>
      </c>
      <c r="E20" s="219">
        <f>913*2</f>
        <v>1826</v>
      </c>
      <c r="F20" s="219">
        <v>2374</v>
      </c>
      <c r="G20" s="219">
        <f>F20/4</f>
        <v>593.5</v>
      </c>
      <c r="H20" s="219">
        <f>G20</f>
        <v>593.5</v>
      </c>
      <c r="I20" s="219">
        <f>H20</f>
        <v>593.5</v>
      </c>
      <c r="J20" s="219">
        <f>I20</f>
        <v>593.5</v>
      </c>
    </row>
    <row r="21" spans="1:10" ht="56.25">
      <c r="A21" s="19" t="s">
        <v>210</v>
      </c>
      <c r="B21" s="217">
        <v>2130</v>
      </c>
      <c r="C21" s="219">
        <v>0</v>
      </c>
      <c r="D21" s="219">
        <v>0</v>
      </c>
      <c r="E21" s="219">
        <v>0</v>
      </c>
      <c r="F21" s="219">
        <v>0</v>
      </c>
      <c r="G21" s="219">
        <v>0</v>
      </c>
      <c r="H21" s="219">
        <v>0</v>
      </c>
      <c r="I21" s="219">
        <v>0</v>
      </c>
      <c r="J21" s="219">
        <v>0</v>
      </c>
    </row>
    <row r="22" spans="1:10" s="224" customFormat="1" ht="58.5" customHeight="1">
      <c r="A22" s="222" t="s">
        <v>175</v>
      </c>
      <c r="B22" s="223">
        <v>2140</v>
      </c>
      <c r="C22" s="218">
        <f t="shared" ref="C22:D22" si="2">C23+C24+C25+C26+C27+C30+C38</f>
        <v>2651</v>
      </c>
      <c r="D22" s="218">
        <f t="shared" si="2"/>
        <v>2936</v>
      </c>
      <c r="E22" s="218">
        <f t="shared" ref="E22:J22" si="3">E23+E24+E25+E26+E27+E30+E38</f>
        <v>3134</v>
      </c>
      <c r="F22" s="218">
        <f t="shared" si="3"/>
        <v>3380</v>
      </c>
      <c r="G22" s="218">
        <f t="shared" si="3"/>
        <v>845.00000000000011</v>
      </c>
      <c r="H22" s="218">
        <f t="shared" si="3"/>
        <v>845.00000000000011</v>
      </c>
      <c r="I22" s="218">
        <f t="shared" si="3"/>
        <v>845.00000000000011</v>
      </c>
      <c r="J22" s="218">
        <f t="shared" si="3"/>
        <v>845.00000000000011</v>
      </c>
    </row>
    <row r="23" spans="1:10" ht="20.100000000000001" customHeight="1">
      <c r="A23" s="19" t="s">
        <v>65</v>
      </c>
      <c r="B23" s="217">
        <v>2141</v>
      </c>
      <c r="C23" s="219">
        <v>0</v>
      </c>
      <c r="D23" s="219">
        <v>0</v>
      </c>
      <c r="E23" s="219">
        <v>0</v>
      </c>
      <c r="F23" s="219">
        <v>0</v>
      </c>
      <c r="G23" s="219">
        <v>0</v>
      </c>
      <c r="H23" s="219">
        <v>0</v>
      </c>
      <c r="I23" s="219">
        <v>0</v>
      </c>
      <c r="J23" s="219">
        <v>0</v>
      </c>
    </row>
    <row r="24" spans="1:10" ht="20.100000000000001" customHeight="1">
      <c r="A24" s="19" t="s">
        <v>80</v>
      </c>
      <c r="B24" s="217">
        <v>2142</v>
      </c>
      <c r="C24" s="219">
        <v>0</v>
      </c>
      <c r="D24" s="219">
        <v>0</v>
      </c>
      <c r="E24" s="219">
        <v>0</v>
      </c>
      <c r="F24" s="219">
        <v>0</v>
      </c>
      <c r="G24" s="219">
        <v>0</v>
      </c>
      <c r="H24" s="219">
        <v>0</v>
      </c>
      <c r="I24" s="219">
        <v>0</v>
      </c>
      <c r="J24" s="219">
        <v>0</v>
      </c>
    </row>
    <row r="25" spans="1:10" ht="20.100000000000001" customHeight="1">
      <c r="A25" s="19" t="s">
        <v>77</v>
      </c>
      <c r="B25" s="217">
        <v>2143</v>
      </c>
      <c r="C25" s="219">
        <v>0</v>
      </c>
      <c r="D25" s="219">
        <v>0</v>
      </c>
      <c r="E25" s="219">
        <v>0</v>
      </c>
      <c r="F25" s="219">
        <v>0</v>
      </c>
      <c r="G25" s="219">
        <v>0</v>
      </c>
      <c r="H25" s="219">
        <v>0</v>
      </c>
      <c r="I25" s="219">
        <v>0</v>
      </c>
      <c r="J25" s="219">
        <v>0</v>
      </c>
    </row>
    <row r="26" spans="1:10" ht="20.100000000000001" customHeight="1">
      <c r="A26" s="19" t="s">
        <v>63</v>
      </c>
      <c r="B26" s="217">
        <v>2144</v>
      </c>
      <c r="C26" s="219">
        <v>642</v>
      </c>
      <c r="D26" s="219">
        <v>840</v>
      </c>
      <c r="E26" s="219">
        <f>442*2</f>
        <v>884</v>
      </c>
      <c r="F26" s="219">
        <v>900</v>
      </c>
      <c r="G26" s="219">
        <f>F26/4</f>
        <v>225</v>
      </c>
      <c r="H26" s="219">
        <f>G26</f>
        <v>225</v>
      </c>
      <c r="I26" s="219">
        <f>H26</f>
        <v>225</v>
      </c>
      <c r="J26" s="219">
        <f>I26</f>
        <v>225</v>
      </c>
    </row>
    <row r="27" spans="1:10" s="221" customFormat="1" ht="20.100000000000001" customHeight="1">
      <c r="A27" s="19" t="s">
        <v>127</v>
      </c>
      <c r="B27" s="217">
        <v>2145</v>
      </c>
      <c r="C27" s="219">
        <v>0</v>
      </c>
      <c r="D27" s="219">
        <v>0</v>
      </c>
      <c r="E27" s="219">
        <v>0</v>
      </c>
      <c r="F27" s="219">
        <v>0</v>
      </c>
      <c r="G27" s="219">
        <v>0</v>
      </c>
      <c r="H27" s="219">
        <v>0</v>
      </c>
      <c r="I27" s="219">
        <v>0</v>
      </c>
      <c r="J27" s="219">
        <v>0</v>
      </c>
    </row>
    <row r="28" spans="1:10" ht="59.25" customHeight="1">
      <c r="A28" s="19" t="s">
        <v>179</v>
      </c>
      <c r="B28" s="217" t="s">
        <v>165</v>
      </c>
      <c r="C28" s="219">
        <v>0</v>
      </c>
      <c r="D28" s="219">
        <v>0</v>
      </c>
      <c r="E28" s="219">
        <v>0</v>
      </c>
      <c r="F28" s="219">
        <v>0</v>
      </c>
      <c r="G28" s="219">
        <v>0</v>
      </c>
      <c r="H28" s="219">
        <v>0</v>
      </c>
      <c r="I28" s="219">
        <v>0</v>
      </c>
      <c r="J28" s="219">
        <v>0</v>
      </c>
    </row>
    <row r="29" spans="1:10" ht="20.100000000000001" customHeight="1">
      <c r="A29" s="19" t="s">
        <v>10</v>
      </c>
      <c r="B29" s="217" t="s">
        <v>166</v>
      </c>
      <c r="C29" s="219">
        <v>1.5</v>
      </c>
      <c r="D29" s="219">
        <v>0</v>
      </c>
      <c r="E29" s="219">
        <v>0</v>
      </c>
      <c r="F29" s="219">
        <v>0</v>
      </c>
      <c r="G29" s="219">
        <v>0</v>
      </c>
      <c r="H29" s="219">
        <v>0</v>
      </c>
      <c r="I29" s="219">
        <v>0</v>
      </c>
      <c r="J29" s="219">
        <v>0</v>
      </c>
    </row>
    <row r="30" spans="1:10" ht="20.100000000000001" customHeight="1">
      <c r="A30" s="19" t="s">
        <v>89</v>
      </c>
      <c r="B30" s="217">
        <v>2146</v>
      </c>
      <c r="C30" s="219">
        <f>'1.Фінансовий результат'!C35</f>
        <v>2009</v>
      </c>
      <c r="D30" s="219">
        <f>SUM(D31:D38)</f>
        <v>2096</v>
      </c>
      <c r="E30" s="219">
        <f>'1.Фінансовий результат'!E35</f>
        <v>2250</v>
      </c>
      <c r="F30" s="219">
        <f>'1.Фінансовий результат'!F35</f>
        <v>2480</v>
      </c>
      <c r="G30" s="219">
        <f>SUM(G31:G37)</f>
        <v>620.00000000000011</v>
      </c>
      <c r="H30" s="219">
        <f>SUM(H31:H37)</f>
        <v>620.00000000000011</v>
      </c>
      <c r="I30" s="219">
        <f>SUM(I31:I37)</f>
        <v>620.00000000000011</v>
      </c>
      <c r="J30" s="219">
        <f>SUM(J31:J37)</f>
        <v>620.00000000000011</v>
      </c>
    </row>
    <row r="31" spans="1:10" s="221" customFormat="1" ht="37.5">
      <c r="A31" s="225" t="s">
        <v>438</v>
      </c>
      <c r="B31" s="217" t="s">
        <v>463</v>
      </c>
      <c r="C31" s="219">
        <v>1727.2</v>
      </c>
      <c r="D31" s="219">
        <v>1796</v>
      </c>
      <c r="E31" s="219">
        <v>1931.1</v>
      </c>
      <c r="F31" s="219">
        <v>2122</v>
      </c>
      <c r="G31" s="219">
        <f>F31/4</f>
        <v>530.5</v>
      </c>
      <c r="H31" s="219">
        <f>G31</f>
        <v>530.5</v>
      </c>
      <c r="I31" s="219">
        <f>G31</f>
        <v>530.5</v>
      </c>
      <c r="J31" s="219">
        <f>I31</f>
        <v>530.5</v>
      </c>
    </row>
    <row r="32" spans="1:10" s="221" customFormat="1" ht="37.5">
      <c r="A32" s="225" t="s">
        <v>444</v>
      </c>
      <c r="B32" s="217" t="s">
        <v>464</v>
      </c>
      <c r="C32" s="219">
        <v>122</v>
      </c>
      <c r="D32" s="219">
        <v>124</v>
      </c>
      <c r="E32" s="219">
        <f>74*2</f>
        <v>148</v>
      </c>
      <c r="F32" s="219">
        <v>166</v>
      </c>
      <c r="G32" s="219">
        <f>F32/4</f>
        <v>41.5</v>
      </c>
      <c r="H32" s="219">
        <f>G32</f>
        <v>41.5</v>
      </c>
      <c r="I32" s="219">
        <f>G32</f>
        <v>41.5</v>
      </c>
      <c r="J32" s="219">
        <f>I32</f>
        <v>41.5</v>
      </c>
    </row>
    <row r="33" spans="1:12" s="221" customFormat="1" ht="37.5">
      <c r="A33" s="225" t="s">
        <v>439</v>
      </c>
      <c r="B33" s="217" t="s">
        <v>465</v>
      </c>
      <c r="C33" s="219">
        <v>0.4</v>
      </c>
      <c r="D33" s="219">
        <v>4</v>
      </c>
      <c r="E33" s="219">
        <v>0.4</v>
      </c>
      <c r="F33" s="219">
        <v>0.8</v>
      </c>
      <c r="G33" s="219">
        <f>F33/4</f>
        <v>0.2</v>
      </c>
      <c r="H33" s="219">
        <f>G33</f>
        <v>0.2</v>
      </c>
      <c r="I33" s="219">
        <f>G33</f>
        <v>0.2</v>
      </c>
      <c r="J33" s="219">
        <f>I33</f>
        <v>0.2</v>
      </c>
    </row>
    <row r="34" spans="1:12" s="221" customFormat="1" ht="20.100000000000001" customHeight="1">
      <c r="A34" s="225" t="s">
        <v>440</v>
      </c>
      <c r="B34" s="217" t="s">
        <v>466</v>
      </c>
      <c r="C34" s="219">
        <v>47</v>
      </c>
      <c r="D34" s="219">
        <v>48</v>
      </c>
      <c r="E34" s="219">
        <f>25*2</f>
        <v>50</v>
      </c>
      <c r="F34" s="219">
        <v>56</v>
      </c>
      <c r="G34" s="219">
        <f>F34/4</f>
        <v>14</v>
      </c>
      <c r="H34" s="219">
        <f>G34</f>
        <v>14</v>
      </c>
      <c r="I34" s="219">
        <f>H34</f>
        <v>14</v>
      </c>
      <c r="J34" s="219">
        <f>I34</f>
        <v>14</v>
      </c>
    </row>
    <row r="35" spans="1:12" s="221" customFormat="1" ht="20.100000000000001" customHeight="1">
      <c r="A35" s="225" t="s">
        <v>441</v>
      </c>
      <c r="B35" s="217" t="s">
        <v>467</v>
      </c>
      <c r="C35" s="219">
        <v>112</v>
      </c>
      <c r="D35" s="219">
        <v>123</v>
      </c>
      <c r="E35" s="219">
        <f>60*2</f>
        <v>120</v>
      </c>
      <c r="F35" s="219">
        <v>134</v>
      </c>
      <c r="G35" s="219">
        <f>F35/4</f>
        <v>33.5</v>
      </c>
      <c r="H35" s="219">
        <f>G35</f>
        <v>33.5</v>
      </c>
      <c r="I35" s="219">
        <f>H35</f>
        <v>33.5</v>
      </c>
      <c r="J35" s="219">
        <f>I35</f>
        <v>33.5</v>
      </c>
    </row>
    <row r="36" spans="1:12" s="221" customFormat="1" ht="20.100000000000001" customHeight="1">
      <c r="A36" s="225" t="s">
        <v>442</v>
      </c>
      <c r="B36" s="217" t="s">
        <v>468</v>
      </c>
      <c r="C36" s="219">
        <v>0.2</v>
      </c>
      <c r="D36" s="219">
        <v>0.2</v>
      </c>
      <c r="E36" s="219">
        <v>0.2</v>
      </c>
      <c r="F36" s="219">
        <v>0.4</v>
      </c>
      <c r="G36" s="219">
        <v>0.1</v>
      </c>
      <c r="H36" s="219">
        <v>0.1</v>
      </c>
      <c r="I36" s="219">
        <v>0.1</v>
      </c>
      <c r="J36" s="219">
        <v>0.1</v>
      </c>
    </row>
    <row r="37" spans="1:12" s="221" customFormat="1" ht="20.100000000000001" customHeight="1">
      <c r="A37" s="225" t="s">
        <v>443</v>
      </c>
      <c r="B37" s="217" t="s">
        <v>469</v>
      </c>
      <c r="C37" s="219">
        <v>0.2</v>
      </c>
      <c r="D37" s="219">
        <v>0.8</v>
      </c>
      <c r="E37" s="219">
        <v>0.3</v>
      </c>
      <c r="F37" s="219">
        <f t="shared" ref="F37" si="4">SUM(G37:J37)</f>
        <v>0.8</v>
      </c>
      <c r="G37" s="219">
        <v>0.2</v>
      </c>
      <c r="H37" s="219">
        <v>0.2</v>
      </c>
      <c r="I37" s="219">
        <v>0.2</v>
      </c>
      <c r="J37" s="219">
        <v>0.2</v>
      </c>
    </row>
    <row r="38" spans="1:12" ht="20.100000000000001" customHeight="1">
      <c r="A38" s="19" t="s">
        <v>68</v>
      </c>
      <c r="B38" s="217">
        <v>2147</v>
      </c>
      <c r="C38" s="219">
        <v>0</v>
      </c>
      <c r="D38" s="219">
        <v>0</v>
      </c>
      <c r="E38" s="219">
        <v>0</v>
      </c>
      <c r="F38" s="219">
        <v>0</v>
      </c>
      <c r="G38" s="219">
        <v>0</v>
      </c>
      <c r="H38" s="219">
        <v>0</v>
      </c>
      <c r="I38" s="219">
        <v>0</v>
      </c>
      <c r="J38" s="219">
        <v>0</v>
      </c>
    </row>
    <row r="39" spans="1:12" s="221" customFormat="1" ht="40.5" customHeight="1">
      <c r="A39" s="222" t="s">
        <v>64</v>
      </c>
      <c r="B39" s="223">
        <v>2150</v>
      </c>
      <c r="C39" s="218">
        <f>'1.Фінансовий результат'!C124</f>
        <v>789</v>
      </c>
      <c r="D39" s="218">
        <v>940</v>
      </c>
      <c r="E39" s="218">
        <f>'1.Фінансовий результат'!E124</f>
        <v>926</v>
      </c>
      <c r="F39" s="218">
        <f>'1.Фінансовий результат'!F124</f>
        <v>996</v>
      </c>
      <c r="G39" s="218">
        <f>'1.Фінансовий результат'!G30+'1.Фінансовий результат'!G60+'1.Фінансовий результат'!G89</f>
        <v>249</v>
      </c>
      <c r="H39" s="218">
        <f>'1.Фінансовий результат'!H30+'1.Фінансовий результат'!H60+'1.Фінансовий результат'!H89</f>
        <v>249</v>
      </c>
      <c r="I39" s="218">
        <f>'1.Фінансовий результат'!I30+'1.Фінансовий результат'!I60+'1.Фінансовий результат'!I89</f>
        <v>249</v>
      </c>
      <c r="J39" s="218">
        <f>'1.Фінансовий результат'!J30+'1.Фінансовий результат'!J60+'1.Фінансовий результат'!J89</f>
        <v>249</v>
      </c>
    </row>
    <row r="40" spans="1:12" s="221" customFormat="1" ht="21.75" customHeight="1">
      <c r="A40" s="222" t="s">
        <v>184</v>
      </c>
      <c r="B40" s="223">
        <v>2200</v>
      </c>
      <c r="C40" s="218">
        <f t="shared" ref="C40:J40" si="5">C18+C19+C20+C22+C39</f>
        <v>4995</v>
      </c>
      <c r="D40" s="218">
        <f t="shared" si="5"/>
        <v>5482.4</v>
      </c>
      <c r="E40" s="218">
        <f t="shared" si="5"/>
        <v>5960</v>
      </c>
      <c r="F40" s="218">
        <f t="shared" si="5"/>
        <v>6895.2</v>
      </c>
      <c r="G40" s="218">
        <f t="shared" si="5"/>
        <v>1723.8000000000002</v>
      </c>
      <c r="H40" s="218">
        <f t="shared" si="5"/>
        <v>1723.8000000000002</v>
      </c>
      <c r="I40" s="218">
        <f t="shared" si="5"/>
        <v>1723.8000000000002</v>
      </c>
      <c r="J40" s="218">
        <f t="shared" si="5"/>
        <v>1723.8000000000002</v>
      </c>
    </row>
    <row r="41" spans="1:12" s="221" customFormat="1" ht="20.100000000000001" customHeight="1">
      <c r="A41" s="226"/>
      <c r="B41" s="227"/>
      <c r="C41" s="228"/>
      <c r="D41" s="228"/>
      <c r="E41" s="228"/>
      <c r="F41" s="228"/>
      <c r="G41" s="229"/>
      <c r="H41" s="229"/>
      <c r="I41" s="229"/>
      <c r="J41" s="229"/>
    </row>
    <row r="42" spans="1:12" s="221" customFormat="1" ht="20.100000000000001" customHeight="1">
      <c r="A42" s="226"/>
      <c r="B42" s="227"/>
      <c r="C42" s="228"/>
      <c r="D42" s="228"/>
      <c r="E42" s="228"/>
      <c r="F42" s="228"/>
      <c r="G42" s="229"/>
      <c r="H42" s="229"/>
      <c r="I42" s="229"/>
      <c r="J42" s="229"/>
    </row>
    <row r="43" spans="1:12" s="107" customFormat="1" ht="19.5" customHeight="1">
      <c r="A43" s="54" t="s">
        <v>508</v>
      </c>
      <c r="B43" s="16"/>
      <c r="C43" s="284" t="s">
        <v>81</v>
      </c>
      <c r="D43" s="284"/>
      <c r="E43" s="284"/>
      <c r="F43" s="285"/>
      <c r="G43" s="68"/>
      <c r="H43" s="275" t="s">
        <v>521</v>
      </c>
      <c r="I43" s="275"/>
      <c r="J43" s="275"/>
    </row>
    <row r="44" spans="1:12" s="2" customFormat="1" ht="15.75" customHeight="1">
      <c r="A44" s="55" t="s">
        <v>59</v>
      </c>
      <c r="B44" s="52"/>
      <c r="C44" s="268" t="s">
        <v>60</v>
      </c>
      <c r="D44" s="268"/>
      <c r="E44" s="268"/>
      <c r="F44" s="268"/>
      <c r="G44" s="53"/>
      <c r="H44" s="268" t="s">
        <v>78</v>
      </c>
      <c r="I44" s="268"/>
      <c r="J44" s="268"/>
    </row>
    <row r="45" spans="1:12" s="227" customFormat="1">
      <c r="A45" s="230"/>
      <c r="F45" s="213"/>
      <c r="G45" s="213"/>
      <c r="H45" s="213"/>
      <c r="I45" s="213"/>
      <c r="J45" s="213"/>
      <c r="K45" s="213"/>
      <c r="L45" s="213"/>
    </row>
    <row r="46" spans="1:12" s="227" customFormat="1">
      <c r="A46" s="230"/>
      <c r="F46" s="213"/>
      <c r="G46" s="213"/>
      <c r="H46" s="213"/>
      <c r="I46" s="213"/>
      <c r="J46" s="213"/>
      <c r="K46" s="213"/>
      <c r="L46" s="213"/>
    </row>
    <row r="47" spans="1:12" s="227" customFormat="1">
      <c r="A47" s="230"/>
      <c r="F47" s="213"/>
      <c r="G47" s="213"/>
      <c r="H47" s="213"/>
      <c r="I47" s="213"/>
      <c r="J47" s="213"/>
      <c r="K47" s="213"/>
      <c r="L47" s="213"/>
    </row>
    <row r="48" spans="1:12" s="227" customFormat="1">
      <c r="A48" s="230"/>
      <c r="F48" s="213"/>
      <c r="G48" s="213"/>
      <c r="H48" s="213"/>
      <c r="I48" s="213"/>
      <c r="J48" s="213"/>
      <c r="K48" s="213"/>
      <c r="L48" s="213"/>
    </row>
    <row r="49" spans="1:12" s="227" customFormat="1">
      <c r="A49" s="230"/>
      <c r="F49" s="213"/>
      <c r="G49" s="213"/>
      <c r="H49" s="213"/>
      <c r="I49" s="213"/>
      <c r="J49" s="213"/>
      <c r="K49" s="213"/>
      <c r="L49" s="213"/>
    </row>
    <row r="50" spans="1:12" s="227" customFormat="1">
      <c r="A50" s="230"/>
      <c r="F50" s="213"/>
      <c r="G50" s="213"/>
      <c r="H50" s="213"/>
      <c r="I50" s="213"/>
      <c r="J50" s="213"/>
      <c r="K50" s="213"/>
      <c r="L50" s="213"/>
    </row>
    <row r="51" spans="1:12" s="227" customFormat="1">
      <c r="A51" s="230"/>
      <c r="F51" s="213"/>
      <c r="G51" s="213"/>
      <c r="H51" s="213"/>
      <c r="I51" s="213"/>
      <c r="J51" s="213"/>
      <c r="K51" s="213"/>
      <c r="L51" s="213"/>
    </row>
    <row r="52" spans="1:12" s="227" customFormat="1">
      <c r="A52" s="230"/>
      <c r="F52" s="213"/>
      <c r="G52" s="213"/>
      <c r="H52" s="213"/>
      <c r="I52" s="213"/>
      <c r="J52" s="213"/>
      <c r="K52" s="213"/>
      <c r="L52" s="213"/>
    </row>
    <row r="53" spans="1:12" s="227" customFormat="1">
      <c r="A53" s="230"/>
      <c r="F53" s="213"/>
      <c r="G53" s="213"/>
      <c r="H53" s="213"/>
      <c r="I53" s="213"/>
      <c r="J53" s="213"/>
      <c r="K53" s="213"/>
      <c r="L53" s="213"/>
    </row>
    <row r="54" spans="1:12" s="227" customFormat="1">
      <c r="A54" s="230"/>
      <c r="F54" s="213"/>
      <c r="G54" s="213"/>
      <c r="H54" s="213"/>
      <c r="I54" s="213"/>
      <c r="J54" s="213"/>
      <c r="K54" s="213"/>
      <c r="L54" s="213"/>
    </row>
    <row r="55" spans="1:12" s="227" customFormat="1">
      <c r="A55" s="230"/>
      <c r="F55" s="213"/>
      <c r="G55" s="213"/>
      <c r="H55" s="213"/>
      <c r="I55" s="213"/>
      <c r="J55" s="213"/>
      <c r="K55" s="213"/>
      <c r="L55" s="213"/>
    </row>
    <row r="56" spans="1:12" s="227" customFormat="1">
      <c r="A56" s="230"/>
      <c r="F56" s="213"/>
      <c r="G56" s="213"/>
      <c r="H56" s="213"/>
      <c r="I56" s="213"/>
      <c r="J56" s="213"/>
      <c r="K56" s="213"/>
      <c r="L56" s="213"/>
    </row>
    <row r="57" spans="1:12" s="227" customFormat="1">
      <c r="A57" s="230"/>
      <c r="F57" s="213"/>
      <c r="G57" s="213"/>
      <c r="H57" s="213"/>
      <c r="I57" s="213"/>
      <c r="J57" s="213"/>
      <c r="K57" s="213"/>
      <c r="L57" s="213"/>
    </row>
    <row r="58" spans="1:12" s="227" customFormat="1">
      <c r="A58" s="230"/>
      <c r="F58" s="213"/>
      <c r="G58" s="213"/>
      <c r="H58" s="213"/>
      <c r="I58" s="213"/>
      <c r="J58" s="213"/>
      <c r="K58" s="213"/>
      <c r="L58" s="213"/>
    </row>
    <row r="59" spans="1:12" s="227" customFormat="1">
      <c r="A59" s="230"/>
      <c r="F59" s="213"/>
      <c r="G59" s="213"/>
      <c r="H59" s="213"/>
      <c r="I59" s="213"/>
      <c r="J59" s="213"/>
      <c r="K59" s="213"/>
      <c r="L59" s="213"/>
    </row>
    <row r="60" spans="1:12" s="227" customFormat="1">
      <c r="A60" s="230"/>
      <c r="F60" s="213"/>
      <c r="G60" s="213"/>
      <c r="H60" s="213"/>
      <c r="I60" s="213"/>
      <c r="J60" s="213"/>
      <c r="K60" s="213"/>
      <c r="L60" s="213"/>
    </row>
    <row r="61" spans="1:12" s="227" customFormat="1">
      <c r="A61" s="230"/>
      <c r="F61" s="213"/>
      <c r="G61" s="213"/>
      <c r="H61" s="213"/>
      <c r="I61" s="213"/>
      <c r="J61" s="213"/>
      <c r="K61" s="213"/>
      <c r="L61" s="213"/>
    </row>
    <row r="62" spans="1:12" s="227" customFormat="1">
      <c r="A62" s="230"/>
      <c r="F62" s="213"/>
      <c r="G62" s="213"/>
      <c r="H62" s="213"/>
      <c r="I62" s="213"/>
      <c r="J62" s="213"/>
      <c r="K62" s="213"/>
      <c r="L62" s="213"/>
    </row>
    <row r="63" spans="1:12" s="227" customFormat="1">
      <c r="A63" s="230"/>
      <c r="F63" s="213"/>
      <c r="G63" s="213"/>
      <c r="H63" s="213"/>
      <c r="I63" s="213"/>
      <c r="J63" s="213"/>
      <c r="K63" s="213"/>
      <c r="L63" s="213"/>
    </row>
    <row r="64" spans="1:12" s="227" customFormat="1">
      <c r="A64" s="230"/>
      <c r="F64" s="213"/>
      <c r="G64" s="213"/>
      <c r="H64" s="213"/>
      <c r="I64" s="213"/>
      <c r="J64" s="213"/>
      <c r="K64" s="213"/>
      <c r="L64" s="213"/>
    </row>
    <row r="65" spans="1:12" s="227" customFormat="1">
      <c r="A65" s="230"/>
      <c r="F65" s="213"/>
      <c r="G65" s="213"/>
      <c r="H65" s="213"/>
      <c r="I65" s="213"/>
      <c r="J65" s="213"/>
      <c r="K65" s="213"/>
      <c r="L65" s="213"/>
    </row>
    <row r="66" spans="1:12" s="227" customFormat="1">
      <c r="A66" s="230"/>
      <c r="F66" s="213"/>
      <c r="G66" s="213"/>
      <c r="H66" s="213"/>
      <c r="I66" s="213"/>
      <c r="J66" s="213"/>
      <c r="K66" s="213"/>
      <c r="L66" s="213"/>
    </row>
    <row r="67" spans="1:12" s="227" customFormat="1">
      <c r="A67" s="230"/>
      <c r="F67" s="213"/>
      <c r="G67" s="213"/>
      <c r="H67" s="213"/>
      <c r="I67" s="213"/>
      <c r="J67" s="213"/>
      <c r="K67" s="213"/>
      <c r="L67" s="213"/>
    </row>
    <row r="68" spans="1:12" s="227" customFormat="1">
      <c r="A68" s="230"/>
      <c r="F68" s="213"/>
      <c r="G68" s="213"/>
      <c r="H68" s="213"/>
      <c r="I68" s="213"/>
      <c r="J68" s="213"/>
      <c r="K68" s="213"/>
      <c r="L68" s="213"/>
    </row>
    <row r="69" spans="1:12" s="227" customFormat="1">
      <c r="A69" s="230"/>
      <c r="F69" s="213"/>
      <c r="G69" s="213"/>
      <c r="H69" s="213"/>
      <c r="I69" s="213"/>
      <c r="J69" s="213"/>
      <c r="K69" s="213"/>
      <c r="L69" s="213"/>
    </row>
    <row r="70" spans="1:12" s="227" customFormat="1">
      <c r="A70" s="230"/>
      <c r="F70" s="213"/>
      <c r="G70" s="213"/>
      <c r="H70" s="213"/>
      <c r="I70" s="213"/>
      <c r="J70" s="213"/>
      <c r="K70" s="213"/>
      <c r="L70" s="213"/>
    </row>
    <row r="71" spans="1:12" s="227" customFormat="1">
      <c r="A71" s="230"/>
      <c r="F71" s="213"/>
      <c r="G71" s="213"/>
      <c r="H71" s="213"/>
      <c r="I71" s="213"/>
      <c r="J71" s="213"/>
      <c r="K71" s="213"/>
      <c r="L71" s="213"/>
    </row>
    <row r="72" spans="1:12" s="227" customFormat="1">
      <c r="A72" s="230"/>
      <c r="F72" s="213"/>
      <c r="G72" s="213"/>
      <c r="H72" s="213"/>
      <c r="I72" s="213"/>
      <c r="J72" s="213"/>
      <c r="K72" s="213"/>
      <c r="L72" s="213"/>
    </row>
    <row r="73" spans="1:12" s="227" customFormat="1">
      <c r="A73" s="230"/>
      <c r="F73" s="213"/>
      <c r="G73" s="213"/>
      <c r="H73" s="213"/>
      <c r="I73" s="213"/>
      <c r="J73" s="213"/>
      <c r="K73" s="213"/>
      <c r="L73" s="213"/>
    </row>
    <row r="74" spans="1:12" s="227" customFormat="1">
      <c r="A74" s="230"/>
      <c r="F74" s="213"/>
      <c r="G74" s="213"/>
      <c r="H74" s="213"/>
      <c r="I74" s="213"/>
      <c r="J74" s="213"/>
      <c r="K74" s="213"/>
      <c r="L74" s="213"/>
    </row>
    <row r="75" spans="1:12" s="227" customFormat="1">
      <c r="A75" s="230"/>
      <c r="F75" s="213"/>
      <c r="G75" s="213"/>
      <c r="H75" s="213"/>
      <c r="I75" s="213"/>
      <c r="J75" s="213"/>
      <c r="K75" s="213"/>
      <c r="L75" s="213"/>
    </row>
    <row r="76" spans="1:12" s="227" customFormat="1">
      <c r="A76" s="230"/>
      <c r="F76" s="213"/>
      <c r="G76" s="213"/>
      <c r="H76" s="213"/>
      <c r="I76" s="213"/>
      <c r="J76" s="213"/>
      <c r="K76" s="213"/>
      <c r="L76" s="213"/>
    </row>
    <row r="77" spans="1:12" s="227" customFormat="1">
      <c r="A77" s="230"/>
      <c r="F77" s="213"/>
      <c r="G77" s="213"/>
      <c r="H77" s="213"/>
      <c r="I77" s="213"/>
      <c r="J77" s="213"/>
      <c r="K77" s="213"/>
      <c r="L77" s="213"/>
    </row>
    <row r="78" spans="1:12" s="227" customFormat="1">
      <c r="A78" s="230"/>
      <c r="F78" s="213"/>
      <c r="G78" s="213"/>
      <c r="H78" s="213"/>
      <c r="I78" s="213"/>
      <c r="J78" s="213"/>
      <c r="K78" s="213"/>
      <c r="L78" s="213"/>
    </row>
    <row r="79" spans="1:12" s="227" customFormat="1">
      <c r="A79" s="230"/>
      <c r="F79" s="213"/>
      <c r="G79" s="213"/>
      <c r="H79" s="213"/>
      <c r="I79" s="213"/>
      <c r="J79" s="213"/>
      <c r="K79" s="213"/>
      <c r="L79" s="213"/>
    </row>
    <row r="80" spans="1:12" s="227" customFormat="1">
      <c r="A80" s="230"/>
      <c r="F80" s="213"/>
      <c r="G80" s="213"/>
      <c r="H80" s="213"/>
      <c r="I80" s="213"/>
      <c r="J80" s="213"/>
      <c r="K80" s="213"/>
      <c r="L80" s="213"/>
    </row>
    <row r="81" spans="1:12" s="227" customFormat="1">
      <c r="A81" s="230"/>
      <c r="F81" s="213"/>
      <c r="G81" s="213"/>
      <c r="H81" s="213"/>
      <c r="I81" s="213"/>
      <c r="J81" s="213"/>
      <c r="K81" s="213"/>
      <c r="L81" s="213"/>
    </row>
    <row r="82" spans="1:12" s="227" customFormat="1">
      <c r="A82" s="230"/>
      <c r="F82" s="213"/>
      <c r="G82" s="213"/>
      <c r="H82" s="213"/>
      <c r="I82" s="213"/>
      <c r="J82" s="213"/>
      <c r="K82" s="213"/>
      <c r="L82" s="213"/>
    </row>
    <row r="83" spans="1:12" s="227" customFormat="1">
      <c r="A83" s="230"/>
      <c r="F83" s="213"/>
      <c r="G83" s="213"/>
      <c r="H83" s="213"/>
      <c r="I83" s="213"/>
      <c r="J83" s="213"/>
      <c r="K83" s="213"/>
      <c r="L83" s="213"/>
    </row>
    <row r="84" spans="1:12" s="227" customFormat="1">
      <c r="A84" s="230"/>
      <c r="F84" s="213"/>
      <c r="G84" s="213"/>
      <c r="H84" s="213"/>
      <c r="I84" s="213"/>
      <c r="J84" s="213"/>
      <c r="K84" s="213"/>
      <c r="L84" s="213"/>
    </row>
    <row r="85" spans="1:12" s="227" customFormat="1">
      <c r="A85" s="230"/>
      <c r="F85" s="213"/>
      <c r="G85" s="213"/>
      <c r="H85" s="213"/>
      <c r="I85" s="213"/>
      <c r="J85" s="213"/>
      <c r="K85" s="213"/>
      <c r="L85" s="213"/>
    </row>
    <row r="86" spans="1:12" s="227" customFormat="1">
      <c r="A86" s="230"/>
      <c r="F86" s="213"/>
      <c r="G86" s="213"/>
      <c r="H86" s="213"/>
      <c r="I86" s="213"/>
      <c r="J86" s="213"/>
      <c r="K86" s="213"/>
      <c r="L86" s="213"/>
    </row>
    <row r="87" spans="1:12" s="227" customFormat="1">
      <c r="A87" s="230"/>
      <c r="F87" s="213"/>
      <c r="G87" s="213"/>
      <c r="H87" s="213"/>
      <c r="I87" s="213"/>
      <c r="J87" s="213"/>
      <c r="K87" s="213"/>
      <c r="L87" s="213"/>
    </row>
    <row r="88" spans="1:12" s="227" customFormat="1">
      <c r="A88" s="230"/>
      <c r="F88" s="213"/>
      <c r="G88" s="213"/>
      <c r="H88" s="213"/>
      <c r="I88" s="213"/>
      <c r="J88" s="213"/>
      <c r="K88" s="213"/>
      <c r="L88" s="213"/>
    </row>
    <row r="89" spans="1:12" s="227" customFormat="1">
      <c r="A89" s="230"/>
      <c r="F89" s="213"/>
      <c r="G89" s="213"/>
      <c r="H89" s="213"/>
      <c r="I89" s="213"/>
      <c r="J89" s="213"/>
      <c r="K89" s="213"/>
      <c r="L89" s="213"/>
    </row>
    <row r="90" spans="1:12" s="227" customFormat="1">
      <c r="A90" s="230"/>
      <c r="F90" s="213"/>
      <c r="G90" s="213"/>
      <c r="H90" s="213"/>
      <c r="I90" s="213"/>
      <c r="J90" s="213"/>
      <c r="K90" s="213"/>
      <c r="L90" s="213"/>
    </row>
    <row r="91" spans="1:12" s="227" customFormat="1">
      <c r="A91" s="230"/>
      <c r="F91" s="213"/>
      <c r="G91" s="213"/>
      <c r="H91" s="213"/>
      <c r="I91" s="213"/>
      <c r="J91" s="213"/>
      <c r="K91" s="213"/>
      <c r="L91" s="213"/>
    </row>
    <row r="92" spans="1:12" s="227" customFormat="1">
      <c r="A92" s="230"/>
      <c r="F92" s="213"/>
      <c r="G92" s="213"/>
      <c r="H92" s="213"/>
      <c r="I92" s="213"/>
      <c r="J92" s="213"/>
      <c r="K92" s="213"/>
      <c r="L92" s="213"/>
    </row>
    <row r="93" spans="1:12" s="227" customFormat="1">
      <c r="A93" s="230"/>
      <c r="F93" s="213"/>
      <c r="G93" s="213"/>
      <c r="H93" s="213"/>
      <c r="I93" s="213"/>
      <c r="J93" s="213"/>
      <c r="K93" s="213"/>
      <c r="L93" s="213"/>
    </row>
    <row r="94" spans="1:12" s="227" customFormat="1">
      <c r="A94" s="230"/>
      <c r="F94" s="213"/>
      <c r="G94" s="213"/>
      <c r="H94" s="213"/>
      <c r="I94" s="213"/>
      <c r="J94" s="213"/>
      <c r="K94" s="213"/>
      <c r="L94" s="213"/>
    </row>
    <row r="95" spans="1:12" s="227" customFormat="1">
      <c r="A95" s="230"/>
      <c r="F95" s="213"/>
      <c r="G95" s="213"/>
      <c r="H95" s="213"/>
      <c r="I95" s="213"/>
      <c r="J95" s="213"/>
      <c r="K95" s="213"/>
      <c r="L95" s="213"/>
    </row>
    <row r="96" spans="1:12" s="227" customFormat="1">
      <c r="A96" s="230"/>
      <c r="F96" s="213"/>
      <c r="G96" s="213"/>
      <c r="H96" s="213"/>
      <c r="I96" s="213"/>
      <c r="J96" s="213"/>
      <c r="K96" s="213"/>
      <c r="L96" s="213"/>
    </row>
    <row r="97" spans="1:12" s="227" customFormat="1">
      <c r="A97" s="230"/>
      <c r="F97" s="213"/>
      <c r="G97" s="213"/>
      <c r="H97" s="213"/>
      <c r="I97" s="213"/>
      <c r="J97" s="213"/>
      <c r="K97" s="213"/>
      <c r="L97" s="213"/>
    </row>
    <row r="98" spans="1:12" s="227" customFormat="1">
      <c r="A98" s="230"/>
      <c r="F98" s="213"/>
      <c r="G98" s="213"/>
      <c r="H98" s="213"/>
      <c r="I98" s="213"/>
      <c r="J98" s="213"/>
      <c r="K98" s="213"/>
      <c r="L98" s="213"/>
    </row>
    <row r="99" spans="1:12" s="227" customFormat="1">
      <c r="A99" s="230"/>
      <c r="F99" s="213"/>
      <c r="G99" s="213"/>
      <c r="H99" s="213"/>
      <c r="I99" s="213"/>
      <c r="J99" s="213"/>
      <c r="K99" s="213"/>
      <c r="L99" s="213"/>
    </row>
    <row r="100" spans="1:12" s="227" customFormat="1">
      <c r="A100" s="230"/>
      <c r="F100" s="213"/>
      <c r="G100" s="213"/>
      <c r="H100" s="213"/>
      <c r="I100" s="213"/>
      <c r="J100" s="213"/>
      <c r="K100" s="213"/>
      <c r="L100" s="213"/>
    </row>
    <row r="101" spans="1:12" s="227" customFormat="1">
      <c r="A101" s="230"/>
      <c r="F101" s="213"/>
      <c r="G101" s="213"/>
      <c r="H101" s="213"/>
      <c r="I101" s="213"/>
      <c r="J101" s="213"/>
      <c r="K101" s="213"/>
      <c r="L101" s="213"/>
    </row>
    <row r="102" spans="1:12" s="227" customFormat="1">
      <c r="A102" s="230"/>
      <c r="F102" s="213"/>
      <c r="G102" s="213"/>
      <c r="H102" s="213"/>
      <c r="I102" s="213"/>
      <c r="J102" s="213"/>
      <c r="K102" s="213"/>
      <c r="L102" s="213"/>
    </row>
    <row r="103" spans="1:12" s="227" customFormat="1">
      <c r="A103" s="230"/>
      <c r="F103" s="213"/>
      <c r="G103" s="213"/>
      <c r="H103" s="213"/>
      <c r="I103" s="213"/>
      <c r="J103" s="213"/>
      <c r="K103" s="213"/>
      <c r="L103" s="213"/>
    </row>
    <row r="104" spans="1:12" s="227" customFormat="1">
      <c r="A104" s="230"/>
      <c r="F104" s="213"/>
      <c r="G104" s="213"/>
      <c r="H104" s="213"/>
      <c r="I104" s="213"/>
      <c r="J104" s="213"/>
      <c r="K104" s="213"/>
      <c r="L104" s="213"/>
    </row>
    <row r="105" spans="1:12" s="227" customFormat="1">
      <c r="A105" s="230"/>
      <c r="F105" s="213"/>
      <c r="G105" s="213"/>
      <c r="H105" s="213"/>
      <c r="I105" s="213"/>
      <c r="J105" s="213"/>
      <c r="K105" s="213"/>
      <c r="L105" s="213"/>
    </row>
    <row r="106" spans="1:12" s="227" customFormat="1">
      <c r="A106" s="230"/>
      <c r="F106" s="213"/>
      <c r="G106" s="213"/>
      <c r="H106" s="213"/>
      <c r="I106" s="213"/>
      <c r="J106" s="213"/>
      <c r="K106" s="213"/>
      <c r="L106" s="213"/>
    </row>
    <row r="107" spans="1:12" s="227" customFormat="1">
      <c r="A107" s="230"/>
      <c r="F107" s="213"/>
      <c r="G107" s="213"/>
      <c r="H107" s="213"/>
      <c r="I107" s="213"/>
      <c r="J107" s="213"/>
      <c r="K107" s="213"/>
      <c r="L107" s="213"/>
    </row>
    <row r="108" spans="1:12" s="227" customFormat="1">
      <c r="A108" s="230"/>
      <c r="F108" s="213"/>
      <c r="G108" s="213"/>
      <c r="H108" s="213"/>
      <c r="I108" s="213"/>
      <c r="J108" s="213"/>
      <c r="K108" s="213"/>
      <c r="L108" s="213"/>
    </row>
    <row r="109" spans="1:12" s="227" customFormat="1">
      <c r="A109" s="230"/>
      <c r="F109" s="213"/>
      <c r="G109" s="213"/>
      <c r="H109" s="213"/>
      <c r="I109" s="213"/>
      <c r="J109" s="213"/>
      <c r="K109" s="213"/>
      <c r="L109" s="213"/>
    </row>
    <row r="110" spans="1:12" s="227" customFormat="1">
      <c r="A110" s="230"/>
      <c r="F110" s="213"/>
      <c r="G110" s="213"/>
      <c r="H110" s="213"/>
      <c r="I110" s="213"/>
      <c r="J110" s="213"/>
      <c r="K110" s="213"/>
      <c r="L110" s="213"/>
    </row>
    <row r="111" spans="1:12" s="227" customFormat="1">
      <c r="A111" s="230"/>
      <c r="F111" s="213"/>
      <c r="G111" s="213"/>
      <c r="H111" s="213"/>
      <c r="I111" s="213"/>
      <c r="J111" s="213"/>
      <c r="K111" s="213"/>
      <c r="L111" s="213"/>
    </row>
    <row r="112" spans="1:12" s="227" customFormat="1">
      <c r="A112" s="230"/>
      <c r="F112" s="213"/>
      <c r="G112" s="213"/>
      <c r="H112" s="213"/>
      <c r="I112" s="213"/>
      <c r="J112" s="213"/>
      <c r="K112" s="213"/>
      <c r="L112" s="213"/>
    </row>
    <row r="113" spans="1:12" s="227" customFormat="1">
      <c r="A113" s="230"/>
      <c r="F113" s="213"/>
      <c r="G113" s="213"/>
      <c r="H113" s="213"/>
      <c r="I113" s="213"/>
      <c r="J113" s="213"/>
      <c r="K113" s="213"/>
      <c r="L113" s="213"/>
    </row>
    <row r="114" spans="1:12" s="227" customFormat="1">
      <c r="A114" s="230"/>
      <c r="F114" s="213"/>
      <c r="G114" s="213"/>
      <c r="H114" s="213"/>
      <c r="I114" s="213"/>
      <c r="J114" s="213"/>
      <c r="K114" s="213"/>
      <c r="L114" s="213"/>
    </row>
    <row r="115" spans="1:12" s="227" customFormat="1">
      <c r="A115" s="230"/>
      <c r="F115" s="213"/>
      <c r="G115" s="213"/>
      <c r="H115" s="213"/>
      <c r="I115" s="213"/>
      <c r="J115" s="213"/>
      <c r="K115" s="213"/>
      <c r="L115" s="213"/>
    </row>
    <row r="116" spans="1:12" s="227" customFormat="1">
      <c r="A116" s="230"/>
      <c r="F116" s="213"/>
      <c r="G116" s="213"/>
      <c r="H116" s="213"/>
      <c r="I116" s="213"/>
      <c r="J116" s="213"/>
      <c r="K116" s="213"/>
      <c r="L116" s="213"/>
    </row>
    <row r="117" spans="1:12" s="227" customFormat="1">
      <c r="A117" s="230"/>
      <c r="F117" s="213"/>
      <c r="G117" s="213"/>
      <c r="H117" s="213"/>
      <c r="I117" s="213"/>
      <c r="J117" s="213"/>
      <c r="K117" s="213"/>
      <c r="L117" s="213"/>
    </row>
    <row r="118" spans="1:12" s="227" customFormat="1">
      <c r="A118" s="230"/>
      <c r="F118" s="213"/>
      <c r="G118" s="213"/>
      <c r="H118" s="213"/>
      <c r="I118" s="213"/>
      <c r="J118" s="213"/>
      <c r="K118" s="213"/>
      <c r="L118" s="213"/>
    </row>
    <row r="119" spans="1:12" s="227" customFormat="1">
      <c r="A119" s="230"/>
      <c r="F119" s="213"/>
      <c r="G119" s="213"/>
      <c r="H119" s="213"/>
      <c r="I119" s="213"/>
      <c r="J119" s="213"/>
      <c r="K119" s="213"/>
      <c r="L119" s="213"/>
    </row>
    <row r="120" spans="1:12" s="227" customFormat="1">
      <c r="A120" s="230"/>
      <c r="F120" s="213"/>
      <c r="G120" s="213"/>
      <c r="H120" s="213"/>
      <c r="I120" s="213"/>
      <c r="J120" s="213"/>
      <c r="K120" s="213"/>
      <c r="L120" s="213"/>
    </row>
    <row r="121" spans="1:12" s="227" customFormat="1">
      <c r="A121" s="230"/>
      <c r="F121" s="213"/>
      <c r="G121" s="213"/>
      <c r="H121" s="213"/>
      <c r="I121" s="213"/>
      <c r="J121" s="213"/>
      <c r="K121" s="213"/>
      <c r="L121" s="213"/>
    </row>
    <row r="122" spans="1:12" s="227" customFormat="1">
      <c r="A122" s="230"/>
      <c r="F122" s="213"/>
      <c r="G122" s="213"/>
      <c r="H122" s="213"/>
      <c r="I122" s="213"/>
      <c r="J122" s="213"/>
      <c r="K122" s="213"/>
      <c r="L122" s="213"/>
    </row>
    <row r="123" spans="1:12" s="227" customFormat="1">
      <c r="A123" s="230"/>
      <c r="F123" s="213"/>
      <c r="G123" s="213"/>
      <c r="H123" s="213"/>
      <c r="I123" s="213"/>
      <c r="J123" s="213"/>
      <c r="K123" s="213"/>
      <c r="L123" s="213"/>
    </row>
    <row r="124" spans="1:12" s="227" customFormat="1">
      <c r="A124" s="230"/>
      <c r="F124" s="213"/>
      <c r="G124" s="213"/>
      <c r="H124" s="213"/>
      <c r="I124" s="213"/>
      <c r="J124" s="213"/>
      <c r="K124" s="213"/>
      <c r="L124" s="213"/>
    </row>
    <row r="125" spans="1:12" s="227" customFormat="1">
      <c r="A125" s="230"/>
      <c r="F125" s="213"/>
      <c r="G125" s="213"/>
      <c r="H125" s="213"/>
      <c r="I125" s="213"/>
      <c r="J125" s="213"/>
      <c r="K125" s="213"/>
      <c r="L125" s="213"/>
    </row>
    <row r="126" spans="1:12" s="227" customFormat="1">
      <c r="A126" s="230"/>
      <c r="F126" s="213"/>
      <c r="G126" s="213"/>
      <c r="H126" s="213"/>
      <c r="I126" s="213"/>
      <c r="J126" s="213"/>
      <c r="K126" s="213"/>
      <c r="L126" s="213"/>
    </row>
    <row r="127" spans="1:12" s="227" customFormat="1">
      <c r="A127" s="230"/>
      <c r="F127" s="213"/>
      <c r="G127" s="213"/>
      <c r="H127" s="213"/>
      <c r="I127" s="213"/>
      <c r="J127" s="213"/>
      <c r="K127" s="213"/>
      <c r="L127" s="213"/>
    </row>
    <row r="128" spans="1:12" s="227" customFormat="1">
      <c r="A128" s="230"/>
      <c r="F128" s="213"/>
      <c r="G128" s="213"/>
      <c r="H128" s="213"/>
      <c r="I128" s="213"/>
      <c r="J128" s="213"/>
      <c r="K128" s="213"/>
      <c r="L128" s="213"/>
    </row>
    <row r="129" spans="1:12" s="227" customFormat="1">
      <c r="A129" s="230"/>
      <c r="F129" s="213"/>
      <c r="G129" s="213"/>
      <c r="H129" s="213"/>
      <c r="I129" s="213"/>
      <c r="J129" s="213"/>
      <c r="K129" s="213"/>
      <c r="L129" s="213"/>
    </row>
    <row r="130" spans="1:12" s="227" customFormat="1">
      <c r="A130" s="230"/>
      <c r="F130" s="213"/>
      <c r="G130" s="213"/>
      <c r="H130" s="213"/>
      <c r="I130" s="213"/>
      <c r="J130" s="213"/>
      <c r="K130" s="213"/>
      <c r="L130" s="213"/>
    </row>
    <row r="131" spans="1:12" s="227" customFormat="1">
      <c r="A131" s="230"/>
      <c r="F131" s="213"/>
      <c r="G131" s="213"/>
      <c r="H131" s="213"/>
      <c r="I131" s="213"/>
      <c r="J131" s="213"/>
      <c r="K131" s="213"/>
      <c r="L131" s="213"/>
    </row>
    <row r="132" spans="1:12" s="227" customFormat="1">
      <c r="A132" s="230"/>
      <c r="F132" s="213"/>
      <c r="G132" s="213"/>
      <c r="H132" s="213"/>
      <c r="I132" s="213"/>
      <c r="J132" s="213"/>
      <c r="K132" s="213"/>
      <c r="L132" s="213"/>
    </row>
    <row r="133" spans="1:12" s="227" customFormat="1">
      <c r="A133" s="230"/>
      <c r="F133" s="213"/>
      <c r="G133" s="213"/>
      <c r="H133" s="213"/>
      <c r="I133" s="213"/>
      <c r="J133" s="213"/>
      <c r="K133" s="213"/>
      <c r="L133" s="213"/>
    </row>
    <row r="134" spans="1:12" s="227" customFormat="1">
      <c r="A134" s="230"/>
      <c r="F134" s="213"/>
      <c r="G134" s="213"/>
      <c r="H134" s="213"/>
      <c r="I134" s="213"/>
      <c r="J134" s="213"/>
      <c r="K134" s="213"/>
      <c r="L134" s="213"/>
    </row>
    <row r="135" spans="1:12" s="227" customFormat="1">
      <c r="A135" s="230"/>
      <c r="F135" s="213"/>
      <c r="G135" s="213"/>
      <c r="H135" s="213"/>
      <c r="I135" s="213"/>
      <c r="J135" s="213"/>
      <c r="K135" s="213"/>
      <c r="L135" s="213"/>
    </row>
    <row r="136" spans="1:12" s="227" customFormat="1">
      <c r="A136" s="230"/>
      <c r="F136" s="213"/>
      <c r="G136" s="213"/>
      <c r="H136" s="213"/>
      <c r="I136" s="213"/>
      <c r="J136" s="213"/>
      <c r="K136" s="213"/>
      <c r="L136" s="213"/>
    </row>
    <row r="137" spans="1:12" s="227" customFormat="1">
      <c r="A137" s="230"/>
      <c r="F137" s="213"/>
      <c r="G137" s="213"/>
      <c r="H137" s="213"/>
      <c r="I137" s="213"/>
      <c r="J137" s="213"/>
      <c r="K137" s="213"/>
      <c r="L137" s="213"/>
    </row>
    <row r="138" spans="1:12" s="227" customFormat="1">
      <c r="A138" s="230"/>
      <c r="F138" s="213"/>
      <c r="G138" s="213"/>
      <c r="H138" s="213"/>
      <c r="I138" s="213"/>
      <c r="J138" s="213"/>
      <c r="K138" s="213"/>
      <c r="L138" s="213"/>
    </row>
    <row r="139" spans="1:12" s="227" customFormat="1">
      <c r="A139" s="230"/>
      <c r="F139" s="213"/>
      <c r="G139" s="213"/>
      <c r="H139" s="213"/>
      <c r="I139" s="213"/>
      <c r="J139" s="213"/>
      <c r="K139" s="213"/>
      <c r="L139" s="213"/>
    </row>
    <row r="140" spans="1:12" s="227" customFormat="1">
      <c r="A140" s="230"/>
      <c r="F140" s="213"/>
      <c r="G140" s="213"/>
      <c r="H140" s="213"/>
      <c r="I140" s="213"/>
      <c r="J140" s="213"/>
      <c r="K140" s="213"/>
      <c r="L140" s="213"/>
    </row>
    <row r="141" spans="1:12" s="227" customFormat="1">
      <c r="A141" s="230"/>
      <c r="F141" s="213"/>
      <c r="G141" s="213"/>
      <c r="H141" s="213"/>
      <c r="I141" s="213"/>
      <c r="J141" s="213"/>
      <c r="K141" s="213"/>
      <c r="L141" s="213"/>
    </row>
    <row r="142" spans="1:12" s="227" customFormat="1">
      <c r="A142" s="230"/>
      <c r="F142" s="213"/>
      <c r="G142" s="213"/>
      <c r="H142" s="213"/>
      <c r="I142" s="213"/>
      <c r="J142" s="213"/>
      <c r="K142" s="213"/>
      <c r="L142" s="213"/>
    </row>
    <row r="143" spans="1:12" s="227" customFormat="1">
      <c r="A143" s="230"/>
      <c r="F143" s="213"/>
      <c r="G143" s="213"/>
      <c r="H143" s="213"/>
      <c r="I143" s="213"/>
      <c r="J143" s="213"/>
      <c r="K143" s="213"/>
      <c r="L143" s="213"/>
    </row>
    <row r="144" spans="1:12" s="227" customFormat="1">
      <c r="A144" s="230"/>
      <c r="F144" s="213"/>
      <c r="G144" s="213"/>
      <c r="H144" s="213"/>
      <c r="I144" s="213"/>
      <c r="J144" s="213"/>
      <c r="K144" s="213"/>
      <c r="L144" s="213"/>
    </row>
    <row r="145" spans="1:12" s="227" customFormat="1">
      <c r="A145" s="230"/>
      <c r="F145" s="213"/>
      <c r="G145" s="213"/>
      <c r="H145" s="213"/>
      <c r="I145" s="213"/>
      <c r="J145" s="213"/>
      <c r="K145" s="213"/>
      <c r="L145" s="213"/>
    </row>
    <row r="146" spans="1:12" s="227" customFormat="1">
      <c r="A146" s="230"/>
      <c r="F146" s="213"/>
      <c r="G146" s="213"/>
      <c r="H146" s="213"/>
      <c r="I146" s="213"/>
      <c r="J146" s="213"/>
      <c r="K146" s="213"/>
      <c r="L146" s="213"/>
    </row>
    <row r="147" spans="1:12" s="227" customFormat="1">
      <c r="A147" s="230"/>
      <c r="F147" s="213"/>
      <c r="G147" s="213"/>
      <c r="H147" s="213"/>
      <c r="I147" s="213"/>
      <c r="J147" s="213"/>
      <c r="K147" s="213"/>
      <c r="L147" s="213"/>
    </row>
    <row r="148" spans="1:12" s="227" customFormat="1">
      <c r="A148" s="230"/>
      <c r="F148" s="213"/>
      <c r="G148" s="213"/>
      <c r="H148" s="213"/>
      <c r="I148" s="213"/>
      <c r="J148" s="213"/>
      <c r="K148" s="213"/>
      <c r="L148" s="213"/>
    </row>
    <row r="149" spans="1:12" s="227" customFormat="1">
      <c r="A149" s="230"/>
      <c r="F149" s="213"/>
      <c r="G149" s="213"/>
      <c r="H149" s="213"/>
      <c r="I149" s="213"/>
      <c r="J149" s="213"/>
      <c r="K149" s="213"/>
      <c r="L149" s="213"/>
    </row>
    <row r="150" spans="1:12" s="227" customFormat="1">
      <c r="A150" s="230"/>
      <c r="F150" s="213"/>
      <c r="G150" s="213"/>
      <c r="H150" s="213"/>
      <c r="I150" s="213"/>
      <c r="J150" s="213"/>
      <c r="K150" s="213"/>
      <c r="L150" s="213"/>
    </row>
    <row r="151" spans="1:12" s="227" customFormat="1">
      <c r="A151" s="230"/>
      <c r="F151" s="213"/>
      <c r="G151" s="213"/>
      <c r="H151" s="213"/>
      <c r="I151" s="213"/>
      <c r="J151" s="213"/>
      <c r="K151" s="213"/>
      <c r="L151" s="213"/>
    </row>
    <row r="152" spans="1:12" s="227" customFormat="1">
      <c r="A152" s="230"/>
      <c r="F152" s="213"/>
      <c r="G152" s="213"/>
      <c r="H152" s="213"/>
      <c r="I152" s="213"/>
      <c r="J152" s="213"/>
      <c r="K152" s="213"/>
      <c r="L152" s="213"/>
    </row>
    <row r="153" spans="1:12" s="227" customFormat="1">
      <c r="A153" s="230"/>
      <c r="F153" s="213"/>
      <c r="G153" s="213"/>
      <c r="H153" s="213"/>
      <c r="I153" s="213"/>
      <c r="J153" s="213"/>
      <c r="K153" s="213"/>
      <c r="L153" s="213"/>
    </row>
    <row r="154" spans="1:12" s="227" customFormat="1">
      <c r="A154" s="230"/>
      <c r="F154" s="213"/>
      <c r="G154" s="213"/>
      <c r="H154" s="213"/>
      <c r="I154" s="213"/>
      <c r="J154" s="213"/>
      <c r="K154" s="213"/>
      <c r="L154" s="213"/>
    </row>
    <row r="155" spans="1:12" s="227" customFormat="1">
      <c r="A155" s="230"/>
      <c r="F155" s="213"/>
      <c r="G155" s="213"/>
      <c r="H155" s="213"/>
      <c r="I155" s="213"/>
      <c r="J155" s="213"/>
      <c r="K155" s="213"/>
      <c r="L155" s="213"/>
    </row>
    <row r="156" spans="1:12" s="227" customFormat="1">
      <c r="A156" s="230"/>
      <c r="F156" s="213"/>
      <c r="G156" s="213"/>
      <c r="H156" s="213"/>
      <c r="I156" s="213"/>
      <c r="J156" s="213"/>
      <c r="K156" s="213"/>
      <c r="L156" s="213"/>
    </row>
    <row r="157" spans="1:12" s="227" customFormat="1">
      <c r="A157" s="230"/>
      <c r="F157" s="213"/>
      <c r="G157" s="213"/>
      <c r="H157" s="213"/>
      <c r="I157" s="213"/>
      <c r="J157" s="213"/>
      <c r="K157" s="213"/>
      <c r="L157" s="213"/>
    </row>
    <row r="158" spans="1:12" s="227" customFormat="1">
      <c r="A158" s="230"/>
      <c r="F158" s="213"/>
      <c r="G158" s="213"/>
      <c r="H158" s="213"/>
      <c r="I158" s="213"/>
      <c r="J158" s="213"/>
      <c r="K158" s="213"/>
      <c r="L158" s="213"/>
    </row>
    <row r="159" spans="1:12" s="227" customFormat="1">
      <c r="A159" s="230"/>
      <c r="F159" s="213"/>
      <c r="G159" s="213"/>
      <c r="H159" s="213"/>
      <c r="I159" s="213"/>
      <c r="J159" s="213"/>
      <c r="K159" s="213"/>
      <c r="L159" s="213"/>
    </row>
    <row r="160" spans="1:12" s="227" customFormat="1">
      <c r="A160" s="230"/>
      <c r="F160" s="213"/>
      <c r="G160" s="213"/>
      <c r="H160" s="213"/>
      <c r="I160" s="213"/>
      <c r="J160" s="213"/>
      <c r="K160" s="213"/>
      <c r="L160" s="213"/>
    </row>
    <row r="161" spans="1:12" s="227" customFormat="1">
      <c r="A161" s="230"/>
      <c r="F161" s="213"/>
      <c r="G161" s="213"/>
      <c r="H161" s="213"/>
      <c r="I161" s="213"/>
      <c r="J161" s="213"/>
      <c r="K161" s="213"/>
      <c r="L161" s="213"/>
    </row>
    <row r="162" spans="1:12" s="227" customFormat="1">
      <c r="A162" s="230"/>
      <c r="F162" s="213"/>
      <c r="G162" s="213"/>
      <c r="H162" s="213"/>
      <c r="I162" s="213"/>
      <c r="J162" s="213"/>
      <c r="K162" s="213"/>
      <c r="L162" s="213"/>
    </row>
    <row r="163" spans="1:12" s="227" customFormat="1">
      <c r="A163" s="230"/>
      <c r="F163" s="213"/>
      <c r="G163" s="213"/>
      <c r="H163" s="213"/>
      <c r="I163" s="213"/>
      <c r="J163" s="213"/>
      <c r="K163" s="213"/>
      <c r="L163" s="213"/>
    </row>
    <row r="164" spans="1:12" s="227" customFormat="1">
      <c r="A164" s="230"/>
      <c r="F164" s="213"/>
      <c r="G164" s="213"/>
      <c r="H164" s="213"/>
      <c r="I164" s="213"/>
      <c r="J164" s="213"/>
      <c r="K164" s="213"/>
      <c r="L164" s="213"/>
    </row>
    <row r="165" spans="1:12" s="227" customFormat="1">
      <c r="A165" s="230"/>
      <c r="F165" s="213"/>
      <c r="G165" s="213"/>
      <c r="H165" s="213"/>
      <c r="I165" s="213"/>
      <c r="J165" s="213"/>
      <c r="K165" s="213"/>
      <c r="L165" s="213"/>
    </row>
    <row r="166" spans="1:12" s="227" customFormat="1">
      <c r="A166" s="230"/>
      <c r="F166" s="213"/>
      <c r="G166" s="213"/>
      <c r="H166" s="213"/>
      <c r="I166" s="213"/>
      <c r="J166" s="213"/>
      <c r="K166" s="213"/>
      <c r="L166" s="213"/>
    </row>
    <row r="167" spans="1:12" s="227" customFormat="1">
      <c r="A167" s="230"/>
      <c r="F167" s="213"/>
      <c r="G167" s="213"/>
      <c r="H167" s="213"/>
      <c r="I167" s="213"/>
      <c r="J167" s="213"/>
      <c r="K167" s="213"/>
      <c r="L167" s="213"/>
    </row>
    <row r="168" spans="1:12" s="227" customFormat="1">
      <c r="A168" s="230"/>
      <c r="F168" s="213"/>
      <c r="G168" s="213"/>
      <c r="H168" s="213"/>
      <c r="I168" s="213"/>
      <c r="J168" s="213"/>
      <c r="K168" s="213"/>
      <c r="L168" s="213"/>
    </row>
    <row r="169" spans="1:12" s="227" customFormat="1">
      <c r="A169" s="230"/>
      <c r="F169" s="213"/>
      <c r="G169" s="213"/>
      <c r="H169" s="213"/>
      <c r="I169" s="213"/>
      <c r="J169" s="213"/>
      <c r="K169" s="213"/>
      <c r="L169" s="213"/>
    </row>
    <row r="170" spans="1:12" s="227" customFormat="1">
      <c r="A170" s="230"/>
      <c r="F170" s="213"/>
      <c r="G170" s="213"/>
      <c r="H170" s="213"/>
      <c r="I170" s="213"/>
      <c r="J170" s="213"/>
      <c r="K170" s="213"/>
      <c r="L170" s="213"/>
    </row>
    <row r="171" spans="1:12" s="227" customFormat="1">
      <c r="A171" s="230"/>
      <c r="F171" s="213"/>
      <c r="G171" s="213"/>
      <c r="H171" s="213"/>
      <c r="I171" s="213"/>
      <c r="J171" s="213"/>
      <c r="K171" s="213"/>
      <c r="L171" s="213"/>
    </row>
    <row r="172" spans="1:12" s="227" customFormat="1">
      <c r="A172" s="230"/>
      <c r="F172" s="213"/>
      <c r="G172" s="213"/>
      <c r="H172" s="213"/>
      <c r="I172" s="213"/>
      <c r="J172" s="213"/>
      <c r="K172" s="213"/>
      <c r="L172" s="213"/>
    </row>
    <row r="173" spans="1:12" s="227" customFormat="1">
      <c r="A173" s="230"/>
      <c r="F173" s="213"/>
      <c r="G173" s="213"/>
      <c r="H173" s="213"/>
      <c r="I173" s="213"/>
      <c r="J173" s="213"/>
      <c r="K173" s="213"/>
      <c r="L173" s="213"/>
    </row>
    <row r="174" spans="1:12" s="227" customFormat="1">
      <c r="A174" s="230"/>
      <c r="F174" s="213"/>
      <c r="G174" s="213"/>
      <c r="H174" s="213"/>
      <c r="I174" s="213"/>
      <c r="J174" s="213"/>
      <c r="K174" s="213"/>
      <c r="L174" s="213"/>
    </row>
    <row r="175" spans="1:12" s="227" customFormat="1">
      <c r="A175" s="230"/>
      <c r="F175" s="213"/>
      <c r="G175" s="213"/>
      <c r="H175" s="213"/>
      <c r="I175" s="213"/>
      <c r="J175" s="213"/>
      <c r="K175" s="213"/>
      <c r="L175" s="213"/>
    </row>
    <row r="176" spans="1:12" s="227" customFormat="1">
      <c r="A176" s="230"/>
      <c r="F176" s="213"/>
      <c r="G176" s="213"/>
      <c r="H176" s="213"/>
      <c r="I176" s="213"/>
      <c r="J176" s="213"/>
      <c r="K176" s="213"/>
      <c r="L176" s="213"/>
    </row>
    <row r="177" spans="1:12" s="227" customFormat="1">
      <c r="A177" s="230"/>
      <c r="F177" s="213"/>
      <c r="G177" s="213"/>
      <c r="H177" s="213"/>
      <c r="I177" s="213"/>
      <c r="J177" s="213"/>
      <c r="K177" s="213"/>
      <c r="L177" s="213"/>
    </row>
    <row r="178" spans="1:12" s="227" customFormat="1">
      <c r="A178" s="230"/>
      <c r="F178" s="213"/>
      <c r="G178" s="213"/>
      <c r="H178" s="213"/>
      <c r="I178" s="213"/>
      <c r="J178" s="213"/>
      <c r="K178" s="213"/>
      <c r="L178" s="213"/>
    </row>
    <row r="179" spans="1:12" s="227" customFormat="1">
      <c r="A179" s="230"/>
      <c r="F179" s="213"/>
      <c r="G179" s="213"/>
      <c r="H179" s="213"/>
      <c r="I179" s="213"/>
      <c r="J179" s="213"/>
      <c r="K179" s="213"/>
      <c r="L179" s="213"/>
    </row>
    <row r="180" spans="1:12" s="227" customFormat="1">
      <c r="A180" s="230"/>
      <c r="F180" s="213"/>
      <c r="G180" s="213"/>
      <c r="H180" s="213"/>
      <c r="I180" s="213"/>
      <c r="J180" s="213"/>
      <c r="K180" s="213"/>
      <c r="L180" s="213"/>
    </row>
    <row r="181" spans="1:12" s="227" customFormat="1">
      <c r="A181" s="230"/>
      <c r="F181" s="213"/>
      <c r="G181" s="213"/>
      <c r="H181" s="213"/>
      <c r="I181" s="213"/>
      <c r="J181" s="213"/>
      <c r="K181" s="213"/>
      <c r="L181" s="213"/>
    </row>
    <row r="182" spans="1:12" s="227" customFormat="1">
      <c r="A182" s="230"/>
      <c r="F182" s="213"/>
      <c r="G182" s="213"/>
      <c r="H182" s="213"/>
      <c r="I182" s="213"/>
      <c r="J182" s="213"/>
      <c r="K182" s="213"/>
      <c r="L182" s="213"/>
    </row>
    <row r="183" spans="1:12" s="227" customFormat="1">
      <c r="A183" s="230"/>
      <c r="F183" s="213"/>
      <c r="G183" s="213"/>
      <c r="H183" s="213"/>
      <c r="I183" s="213"/>
      <c r="J183" s="213"/>
      <c r="K183" s="213"/>
      <c r="L183" s="213"/>
    </row>
    <row r="184" spans="1:12" s="227" customFormat="1">
      <c r="A184" s="230"/>
      <c r="F184" s="213"/>
      <c r="G184" s="213"/>
      <c r="H184" s="213"/>
      <c r="I184" s="213"/>
      <c r="J184" s="213"/>
      <c r="K184" s="213"/>
      <c r="L184" s="213"/>
    </row>
    <row r="185" spans="1:12" s="227" customFormat="1">
      <c r="A185" s="230"/>
      <c r="F185" s="213"/>
      <c r="G185" s="213"/>
      <c r="H185" s="213"/>
      <c r="I185" s="213"/>
      <c r="J185" s="213"/>
      <c r="K185" s="213"/>
      <c r="L185" s="213"/>
    </row>
    <row r="186" spans="1:12" s="227" customFormat="1">
      <c r="A186" s="230"/>
      <c r="F186" s="213"/>
      <c r="G186" s="213"/>
      <c r="H186" s="213"/>
      <c r="I186" s="213"/>
      <c r="J186" s="213"/>
      <c r="K186" s="213"/>
      <c r="L186" s="213"/>
    </row>
    <row r="187" spans="1:12" s="227" customFormat="1">
      <c r="A187" s="230"/>
      <c r="F187" s="213"/>
      <c r="G187" s="213"/>
      <c r="H187" s="213"/>
      <c r="I187" s="213"/>
      <c r="J187" s="213"/>
      <c r="K187" s="213"/>
      <c r="L187" s="213"/>
    </row>
    <row r="188" spans="1:12" s="227" customFormat="1">
      <c r="A188" s="230"/>
      <c r="F188" s="213"/>
      <c r="G188" s="213"/>
      <c r="H188" s="213"/>
      <c r="I188" s="213"/>
      <c r="J188" s="213"/>
      <c r="K188" s="213"/>
      <c r="L188" s="213"/>
    </row>
    <row r="189" spans="1:12" s="227" customFormat="1">
      <c r="A189" s="230"/>
      <c r="F189" s="213"/>
      <c r="G189" s="213"/>
      <c r="H189" s="213"/>
      <c r="I189" s="213"/>
      <c r="J189" s="213"/>
      <c r="K189" s="213"/>
      <c r="L189" s="213"/>
    </row>
    <row r="190" spans="1:12" s="227" customFormat="1">
      <c r="A190" s="230"/>
      <c r="F190" s="213"/>
      <c r="G190" s="213"/>
      <c r="H190" s="213"/>
      <c r="I190" s="213"/>
      <c r="J190" s="213"/>
      <c r="K190" s="213"/>
      <c r="L190" s="213"/>
    </row>
    <row r="191" spans="1:12" s="227" customFormat="1">
      <c r="A191" s="230"/>
      <c r="F191" s="213"/>
      <c r="G191" s="213"/>
      <c r="H191" s="213"/>
      <c r="I191" s="213"/>
      <c r="J191" s="213"/>
      <c r="K191" s="213"/>
      <c r="L191" s="213"/>
    </row>
    <row r="192" spans="1:12" s="227" customFormat="1">
      <c r="A192" s="230"/>
      <c r="F192" s="213"/>
      <c r="G192" s="213"/>
      <c r="H192" s="213"/>
      <c r="I192" s="213"/>
      <c r="J192" s="213"/>
      <c r="K192" s="213"/>
      <c r="L192" s="213"/>
    </row>
    <row r="193" spans="1:12" s="227" customFormat="1">
      <c r="A193" s="230"/>
      <c r="F193" s="213"/>
      <c r="G193" s="213"/>
      <c r="H193" s="213"/>
      <c r="I193" s="213"/>
      <c r="J193" s="213"/>
      <c r="K193" s="213"/>
      <c r="L193" s="213"/>
    </row>
    <row r="194" spans="1:12" s="227" customFormat="1">
      <c r="A194" s="230"/>
      <c r="F194" s="213"/>
      <c r="G194" s="213"/>
      <c r="H194" s="213"/>
      <c r="I194" s="213"/>
      <c r="J194" s="213"/>
      <c r="K194" s="213"/>
      <c r="L194" s="213"/>
    </row>
  </sheetData>
  <mergeCells count="14">
    <mergeCell ref="A2:J2"/>
    <mergeCell ref="A4:A5"/>
    <mergeCell ref="B4:B5"/>
    <mergeCell ref="C4:C5"/>
    <mergeCell ref="F4:F5"/>
    <mergeCell ref="G4:J4"/>
    <mergeCell ref="E4:E5"/>
    <mergeCell ref="D4:D5"/>
    <mergeCell ref="C44:F44"/>
    <mergeCell ref="H44:J44"/>
    <mergeCell ref="A7:J7"/>
    <mergeCell ref="A17:J17"/>
    <mergeCell ref="C43:F43"/>
    <mergeCell ref="H43:J43"/>
  </mergeCells>
  <phoneticPr fontId="3" type="noConversion"/>
  <pageMargins left="0.51181102362204722" right="0.19685039370078741" top="0.59055118110236227" bottom="0.59055118110236227" header="0.19685039370078741" footer="0.11811023622047245"/>
  <pageSetup paperSize="9" scale="50" firstPageNumber="5" fitToHeight="2" orientation="portrait" useFirstPageNumber="1" r:id="rId1"/>
  <headerFooter alignWithMargins="0">
    <oddHeader>&amp;C&amp;"Times New Roman,обычный"&amp;14
&amp;R&amp;"Times New Roman,обычный"&amp;14Таблиця 2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J115"/>
  <sheetViews>
    <sheetView view="pageBreakPreview" zoomScale="70" zoomScaleNormal="75" zoomScaleSheetLayoutView="70" zoomScalePageLayoutView="70" workbookViewId="0">
      <selection activeCell="A10" sqref="A10"/>
    </sheetView>
  </sheetViews>
  <sheetFormatPr defaultRowHeight="18.75" outlineLevelRow="1"/>
  <cols>
    <col min="1" max="1" width="65.7109375" style="2" customWidth="1"/>
    <col min="2" max="2" width="11.5703125" style="2" customWidth="1"/>
    <col min="3" max="3" width="15.28515625" style="2" customWidth="1"/>
    <col min="4" max="5" width="16.28515625" style="2" customWidth="1"/>
    <col min="6" max="6" width="16" style="2" customWidth="1"/>
    <col min="7" max="8" width="12.5703125" style="2" customWidth="1"/>
    <col min="9" max="10" width="12.42578125" style="2" customWidth="1"/>
    <col min="11" max="16384" width="9.140625" style="2"/>
  </cols>
  <sheetData>
    <row r="2" spans="1:10">
      <c r="A2" s="265" t="s">
        <v>112</v>
      </c>
      <c r="B2" s="265"/>
      <c r="C2" s="265"/>
      <c r="D2" s="265"/>
      <c r="E2" s="265"/>
      <c r="F2" s="265"/>
      <c r="G2" s="265"/>
      <c r="H2" s="265"/>
      <c r="I2" s="265"/>
      <c r="J2" s="265"/>
    </row>
    <row r="3" spans="1:10" outlineLevel="1">
      <c r="A3" s="11"/>
      <c r="B3" s="11"/>
      <c r="C3" s="11"/>
      <c r="D3" s="11"/>
      <c r="E3" s="11"/>
      <c r="F3" s="11"/>
      <c r="G3" s="11"/>
      <c r="H3" s="11"/>
      <c r="I3" s="11"/>
      <c r="J3" s="231" t="s">
        <v>507</v>
      </c>
    </row>
    <row r="4" spans="1:10" ht="18.75" customHeight="1">
      <c r="A4" s="269" t="s">
        <v>182</v>
      </c>
      <c r="B4" s="270" t="s">
        <v>5</v>
      </c>
      <c r="C4" s="271" t="s">
        <v>580</v>
      </c>
      <c r="D4" s="271" t="s">
        <v>598</v>
      </c>
      <c r="E4" s="271" t="s">
        <v>656</v>
      </c>
      <c r="F4" s="271" t="s">
        <v>599</v>
      </c>
      <c r="G4" s="270" t="s">
        <v>256</v>
      </c>
      <c r="H4" s="270"/>
      <c r="I4" s="270"/>
      <c r="J4" s="270"/>
    </row>
    <row r="5" spans="1:10" ht="45.75" customHeight="1">
      <c r="A5" s="269"/>
      <c r="B5" s="270"/>
      <c r="C5" s="272" t="s">
        <v>396</v>
      </c>
      <c r="D5" s="272"/>
      <c r="E5" s="272" t="s">
        <v>395</v>
      </c>
      <c r="F5" s="272" t="s">
        <v>394</v>
      </c>
      <c r="G5" s="71" t="s">
        <v>140</v>
      </c>
      <c r="H5" s="71" t="s">
        <v>141</v>
      </c>
      <c r="I5" s="71" t="s">
        <v>142</v>
      </c>
      <c r="J5" s="71" t="s">
        <v>54</v>
      </c>
    </row>
    <row r="6" spans="1:10" ht="18" customHeight="1">
      <c r="A6" s="102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</row>
    <row r="7" spans="1:10" s="232" customFormat="1">
      <c r="A7" s="286" t="s">
        <v>116</v>
      </c>
      <c r="B7" s="286"/>
      <c r="C7" s="286"/>
      <c r="D7" s="286"/>
      <c r="E7" s="286"/>
      <c r="F7" s="286"/>
      <c r="G7" s="286"/>
      <c r="H7" s="286"/>
      <c r="I7" s="286"/>
      <c r="J7" s="286"/>
    </row>
    <row r="8" spans="1:10" ht="37.5">
      <c r="A8" s="222" t="s">
        <v>129</v>
      </c>
      <c r="B8" s="6">
        <v>1200</v>
      </c>
      <c r="C8" s="233">
        <f>'1.Фінансовий результат'!C112</f>
        <v>434</v>
      </c>
      <c r="D8" s="233">
        <f>'1.Фінансовий результат'!D112</f>
        <v>81.799999999999272</v>
      </c>
      <c r="E8" s="233">
        <f>'1.Фінансовий результат'!E112</f>
        <v>225.5</v>
      </c>
      <c r="F8" s="233">
        <f>'1.Фінансовий результат'!F112</f>
        <v>442.39999999999782</v>
      </c>
      <c r="G8" s="233">
        <f>'1.Фінансовий результат'!G112</f>
        <v>110.59999999999945</v>
      </c>
      <c r="H8" s="233">
        <f>'1.Фінансовий результат'!H112</f>
        <v>110.59999999999945</v>
      </c>
      <c r="I8" s="233">
        <f>'1.Фінансовий результат'!I112</f>
        <v>110.59999999999945</v>
      </c>
      <c r="J8" s="233">
        <f>'1.Фінансовий результат'!J112</f>
        <v>110.59999999999945</v>
      </c>
    </row>
    <row r="9" spans="1:10" ht="20.100000000000001" customHeight="1">
      <c r="A9" s="19" t="s">
        <v>130</v>
      </c>
      <c r="B9" s="234"/>
      <c r="C9" s="235"/>
      <c r="D9" s="235"/>
      <c r="E9" s="235"/>
      <c r="F9" s="235"/>
      <c r="G9" s="235"/>
      <c r="H9" s="235"/>
      <c r="I9" s="235"/>
      <c r="J9" s="235"/>
    </row>
    <row r="10" spans="1:10" ht="20.100000000000001" customHeight="1">
      <c r="A10" s="19" t="s">
        <v>132</v>
      </c>
      <c r="B10" s="101">
        <v>3000</v>
      </c>
      <c r="C10" s="210">
        <v>0</v>
      </c>
      <c r="D10" s="210">
        <v>0</v>
      </c>
      <c r="E10" s="210">
        <v>0</v>
      </c>
      <c r="F10" s="210">
        <v>0</v>
      </c>
      <c r="G10" s="210">
        <v>0</v>
      </c>
      <c r="H10" s="210">
        <v>0</v>
      </c>
      <c r="I10" s="210">
        <v>0</v>
      </c>
      <c r="J10" s="210">
        <v>0</v>
      </c>
    </row>
    <row r="11" spans="1:10" ht="20.100000000000001" customHeight="1">
      <c r="A11" s="19" t="s">
        <v>133</v>
      </c>
      <c r="B11" s="101">
        <v>3010</v>
      </c>
      <c r="C11" s="210">
        <v>0</v>
      </c>
      <c r="D11" s="210">
        <v>0</v>
      </c>
      <c r="E11" s="210">
        <v>0</v>
      </c>
      <c r="F11" s="210">
        <v>0</v>
      </c>
      <c r="G11" s="210">
        <v>0</v>
      </c>
      <c r="H11" s="210">
        <v>0</v>
      </c>
      <c r="I11" s="210">
        <v>0</v>
      </c>
      <c r="J11" s="210">
        <v>0</v>
      </c>
    </row>
    <row r="12" spans="1:10" ht="20.100000000000001" customHeight="1">
      <c r="A12" s="19" t="s">
        <v>134</v>
      </c>
      <c r="B12" s="101">
        <v>3020</v>
      </c>
      <c r="C12" s="210">
        <v>0</v>
      </c>
      <c r="D12" s="210">
        <v>0</v>
      </c>
      <c r="E12" s="210">
        <v>0</v>
      </c>
      <c r="F12" s="210">
        <v>0</v>
      </c>
      <c r="G12" s="210">
        <v>0</v>
      </c>
      <c r="H12" s="210">
        <v>0</v>
      </c>
      <c r="I12" s="210">
        <v>0</v>
      </c>
      <c r="J12" s="210">
        <v>0</v>
      </c>
    </row>
    <row r="13" spans="1:10" ht="37.5">
      <c r="A13" s="19" t="s">
        <v>135</v>
      </c>
      <c r="B13" s="101">
        <v>3030</v>
      </c>
      <c r="C13" s="210">
        <v>0</v>
      </c>
      <c r="D13" s="210">
        <v>0</v>
      </c>
      <c r="E13" s="210">
        <v>0</v>
      </c>
      <c r="F13" s="210">
        <v>0</v>
      </c>
      <c r="G13" s="210">
        <v>0</v>
      </c>
      <c r="H13" s="210">
        <v>0</v>
      </c>
      <c r="I13" s="210">
        <v>0</v>
      </c>
      <c r="J13" s="210">
        <v>0</v>
      </c>
    </row>
    <row r="14" spans="1:10" ht="37.5">
      <c r="A14" s="222" t="s">
        <v>174</v>
      </c>
      <c r="B14" s="103">
        <v>3040</v>
      </c>
      <c r="C14" s="233">
        <f>C8</f>
        <v>434</v>
      </c>
      <c r="D14" s="233">
        <f>D8</f>
        <v>81.799999999999272</v>
      </c>
      <c r="E14" s="233">
        <f>E8</f>
        <v>225.5</v>
      </c>
      <c r="F14" s="233">
        <f t="shared" ref="F14:J14" si="0">F8</f>
        <v>442.39999999999782</v>
      </c>
      <c r="G14" s="233">
        <f t="shared" si="0"/>
        <v>110.59999999999945</v>
      </c>
      <c r="H14" s="233">
        <f t="shared" si="0"/>
        <v>110.59999999999945</v>
      </c>
      <c r="I14" s="233">
        <f t="shared" si="0"/>
        <v>110.59999999999945</v>
      </c>
      <c r="J14" s="233">
        <f t="shared" si="0"/>
        <v>110.59999999999945</v>
      </c>
    </row>
    <row r="15" spans="1:10" ht="37.5">
      <c r="A15" s="19" t="s">
        <v>136</v>
      </c>
      <c r="B15" s="101">
        <v>3050</v>
      </c>
      <c r="C15" s="210">
        <v>0</v>
      </c>
      <c r="D15" s="210">
        <v>0</v>
      </c>
      <c r="E15" s="210">
        <v>0</v>
      </c>
      <c r="F15" s="210">
        <v>0</v>
      </c>
      <c r="G15" s="210">
        <v>0</v>
      </c>
      <c r="H15" s="210">
        <v>0</v>
      </c>
      <c r="I15" s="210">
        <v>0</v>
      </c>
      <c r="J15" s="210">
        <v>0</v>
      </c>
    </row>
    <row r="16" spans="1:10" ht="37.5">
      <c r="A16" s="19" t="s">
        <v>137</v>
      </c>
      <c r="B16" s="101">
        <v>3060</v>
      </c>
      <c r="C16" s="210">
        <v>0</v>
      </c>
      <c r="D16" s="210">
        <v>0</v>
      </c>
      <c r="E16" s="210">
        <v>0</v>
      </c>
      <c r="F16" s="210">
        <v>0</v>
      </c>
      <c r="G16" s="210">
        <v>0</v>
      </c>
      <c r="H16" s="210">
        <v>0</v>
      </c>
      <c r="I16" s="210">
        <v>0</v>
      </c>
      <c r="J16" s="210">
        <v>0</v>
      </c>
    </row>
    <row r="17" spans="1:10" s="9" customFormat="1" ht="20.100000000000001" customHeight="1">
      <c r="A17" s="222" t="s">
        <v>496</v>
      </c>
      <c r="B17" s="103">
        <v>3070</v>
      </c>
      <c r="C17" s="233">
        <f>C18</f>
        <v>25125</v>
      </c>
      <c r="D17" s="233">
        <f>D18</f>
        <v>32337.599999999999</v>
      </c>
      <c r="E17" s="233">
        <f>E18</f>
        <v>27098</v>
      </c>
      <c r="F17" s="233">
        <f>F18</f>
        <v>34326</v>
      </c>
      <c r="G17" s="233">
        <f>SUM(G18)</f>
        <v>8581.5</v>
      </c>
      <c r="H17" s="233">
        <f t="shared" ref="H17:J17" si="1">SUM(H18)</f>
        <v>8581.5</v>
      </c>
      <c r="I17" s="233">
        <f t="shared" si="1"/>
        <v>8581.5</v>
      </c>
      <c r="J17" s="233">
        <f t="shared" si="1"/>
        <v>8581.5</v>
      </c>
    </row>
    <row r="18" spans="1:10" s="9" customFormat="1">
      <c r="A18" s="222" t="s">
        <v>471</v>
      </c>
      <c r="B18" s="103" t="s">
        <v>479</v>
      </c>
      <c r="C18" s="233">
        <f>SUM(C19:C22)</f>
        <v>25125</v>
      </c>
      <c r="D18" s="233">
        <f>SUM(D19:D22)</f>
        <v>32337.599999999999</v>
      </c>
      <c r="E18" s="233">
        <f>SUM(E19:E22)</f>
        <v>27098</v>
      </c>
      <c r="F18" s="233">
        <f>SUM(F19:F22)</f>
        <v>34326</v>
      </c>
      <c r="G18" s="233">
        <f>SUM(G19:G22)</f>
        <v>8581.5</v>
      </c>
      <c r="H18" s="233">
        <f t="shared" ref="H18:J18" si="2">SUM(H19:H22)</f>
        <v>8581.5</v>
      </c>
      <c r="I18" s="233">
        <f t="shared" si="2"/>
        <v>8581.5</v>
      </c>
      <c r="J18" s="233">
        <f t="shared" si="2"/>
        <v>8581.5</v>
      </c>
    </row>
    <row r="19" spans="1:10" ht="20.100000000000001" customHeight="1">
      <c r="A19" s="225" t="s">
        <v>470</v>
      </c>
      <c r="B19" s="101" t="s">
        <v>481</v>
      </c>
      <c r="C19" s="210">
        <v>25085</v>
      </c>
      <c r="D19" s="210">
        <v>32313.599999999999</v>
      </c>
      <c r="E19" s="210">
        <f>13522*2</f>
        <v>27044</v>
      </c>
      <c r="F19" s="210">
        <f>'1.Фінансовий результат'!F14</f>
        <v>34286</v>
      </c>
      <c r="G19" s="210">
        <f>F19/4</f>
        <v>8571.5</v>
      </c>
      <c r="H19" s="210">
        <f>G19</f>
        <v>8571.5</v>
      </c>
      <c r="I19" s="210">
        <f>H19</f>
        <v>8571.5</v>
      </c>
      <c r="J19" s="210">
        <f>I19</f>
        <v>8571.5</v>
      </c>
    </row>
    <row r="20" spans="1:10" ht="20.100000000000001" customHeight="1">
      <c r="A20" s="225" t="s">
        <v>492</v>
      </c>
      <c r="B20" s="101" t="s">
        <v>482</v>
      </c>
      <c r="C20" s="210">
        <v>26</v>
      </c>
      <c r="D20" s="210">
        <v>4</v>
      </c>
      <c r="E20" s="210">
        <v>0</v>
      </c>
      <c r="F20" s="210">
        <v>0</v>
      </c>
      <c r="G20" s="210">
        <v>0</v>
      </c>
      <c r="H20" s="210">
        <v>0</v>
      </c>
      <c r="I20" s="210">
        <v>0</v>
      </c>
      <c r="J20" s="210">
        <v>0</v>
      </c>
    </row>
    <row r="21" spans="1:10" ht="20.100000000000001" customHeight="1">
      <c r="A21" s="225" t="s">
        <v>493</v>
      </c>
      <c r="B21" s="101" t="s">
        <v>490</v>
      </c>
      <c r="C21" s="210">
        <v>0</v>
      </c>
      <c r="D21" s="210">
        <v>0</v>
      </c>
      <c r="E21" s="210">
        <v>0</v>
      </c>
      <c r="F21" s="210">
        <v>0</v>
      </c>
      <c r="G21" s="210">
        <v>0</v>
      </c>
      <c r="H21" s="210">
        <v>0</v>
      </c>
      <c r="I21" s="210">
        <v>0</v>
      </c>
      <c r="J21" s="210">
        <v>0</v>
      </c>
    </row>
    <row r="22" spans="1:10" ht="20.100000000000001" customHeight="1">
      <c r="A22" s="225" t="s">
        <v>494</v>
      </c>
      <c r="B22" s="101" t="s">
        <v>491</v>
      </c>
      <c r="C22" s="210">
        <v>14</v>
      </c>
      <c r="D22" s="210">
        <v>20</v>
      </c>
      <c r="E22" s="210">
        <f>27*2</f>
        <v>54</v>
      </c>
      <c r="F22" s="210">
        <v>40</v>
      </c>
      <c r="G22" s="210">
        <f>F22/4</f>
        <v>10</v>
      </c>
      <c r="H22" s="210">
        <f>G22</f>
        <v>10</v>
      </c>
      <c r="I22" s="210">
        <f>H22</f>
        <v>10</v>
      </c>
      <c r="J22" s="210">
        <f>I22</f>
        <v>10</v>
      </c>
    </row>
    <row r="23" spans="1:10" s="9" customFormat="1" ht="20.100000000000001" customHeight="1">
      <c r="A23" s="222" t="s">
        <v>472</v>
      </c>
      <c r="B23" s="103" t="s">
        <v>480</v>
      </c>
      <c r="C23" s="233">
        <f>SUM(C24:C30)</f>
        <v>33700</v>
      </c>
      <c r="D23" s="233">
        <f>SUM(D24:D30)</f>
        <v>38276</v>
      </c>
      <c r="E23" s="233">
        <f>SUM(E24:E30)</f>
        <v>38218</v>
      </c>
      <c r="F23" s="233">
        <f>SUM(F24:F30)</f>
        <v>43113.2</v>
      </c>
      <c r="G23" s="233">
        <f>SUM(G24:G30)</f>
        <v>10778.3</v>
      </c>
      <c r="H23" s="233">
        <f t="shared" ref="H23:J23" si="3">SUM(H24:H30)</f>
        <v>10778.3</v>
      </c>
      <c r="I23" s="233">
        <f t="shared" si="3"/>
        <v>10778.3</v>
      </c>
      <c r="J23" s="233">
        <f t="shared" si="3"/>
        <v>10778.3</v>
      </c>
    </row>
    <row r="24" spans="1:10" ht="20.100000000000001" customHeight="1">
      <c r="A24" s="225" t="s">
        <v>473</v>
      </c>
      <c r="B24" s="236" t="s">
        <v>483</v>
      </c>
      <c r="C24" s="210">
        <v>23864</v>
      </c>
      <c r="D24" s="210">
        <v>28520</v>
      </c>
      <c r="E24" s="210">
        <v>28350</v>
      </c>
      <c r="F24" s="210">
        <v>29250</v>
      </c>
      <c r="G24" s="210">
        <f>F24/4</f>
        <v>7312.5</v>
      </c>
      <c r="H24" s="210">
        <f t="shared" ref="H24:J25" si="4">G24</f>
        <v>7312.5</v>
      </c>
      <c r="I24" s="210">
        <f t="shared" si="4"/>
        <v>7312.5</v>
      </c>
      <c r="J24" s="210">
        <f t="shared" si="4"/>
        <v>7312.5</v>
      </c>
    </row>
    <row r="25" spans="1:10" ht="20.100000000000001" customHeight="1">
      <c r="A25" s="225" t="s">
        <v>495</v>
      </c>
      <c r="B25" s="236" t="s">
        <v>484</v>
      </c>
      <c r="C25" s="210">
        <v>28</v>
      </c>
      <c r="D25" s="210">
        <v>12</v>
      </c>
      <c r="E25" s="210">
        <f>19*2</f>
        <v>38</v>
      </c>
      <c r="F25" s="210">
        <v>38</v>
      </c>
      <c r="G25" s="210">
        <f>F25/4</f>
        <v>9.5</v>
      </c>
      <c r="H25" s="210">
        <f t="shared" si="4"/>
        <v>9.5</v>
      </c>
      <c r="I25" s="210">
        <f t="shared" si="4"/>
        <v>9.5</v>
      </c>
      <c r="J25" s="210">
        <f t="shared" si="4"/>
        <v>9.5</v>
      </c>
    </row>
    <row r="26" spans="1:10" ht="20.100000000000001" customHeight="1">
      <c r="A26" s="225" t="s">
        <v>474</v>
      </c>
      <c r="B26" s="236" t="s">
        <v>485</v>
      </c>
      <c r="C26" s="210">
        <v>2887</v>
      </c>
      <c r="D26" s="210">
        <v>4276</v>
      </c>
      <c r="E26" s="210">
        <f>1920*2</f>
        <v>3840</v>
      </c>
      <c r="F26" s="210">
        <f>'1.Фінансовий результат'!F123</f>
        <v>4548</v>
      </c>
      <c r="G26" s="210">
        <f>'1.Фінансовий результат'!G123</f>
        <v>1137</v>
      </c>
      <c r="H26" s="210">
        <f>'1.Фінансовий результат'!H123</f>
        <v>1137</v>
      </c>
      <c r="I26" s="210">
        <f>'1.Фінансовий результат'!I123</f>
        <v>1137</v>
      </c>
      <c r="J26" s="210">
        <f>'1.Фінансовий результат'!J123</f>
        <v>1137</v>
      </c>
    </row>
    <row r="27" spans="1:10" ht="20.100000000000001" customHeight="1">
      <c r="A27" s="225" t="s">
        <v>475</v>
      </c>
      <c r="B27" s="236" t="s">
        <v>486</v>
      </c>
      <c r="C27" s="210">
        <v>836</v>
      </c>
      <c r="D27" s="210">
        <v>940</v>
      </c>
      <c r="E27" s="210">
        <f>536*2</f>
        <v>1072</v>
      </c>
      <c r="F27" s="210">
        <f>'1.Фінансовий результат'!F124</f>
        <v>996</v>
      </c>
      <c r="G27" s="210">
        <f>'1.Фінансовий результат'!G124</f>
        <v>249</v>
      </c>
      <c r="H27" s="210">
        <f>'1.Фінансовий результат'!H124</f>
        <v>249</v>
      </c>
      <c r="I27" s="210">
        <f>'1.Фінансовий результат'!I124</f>
        <v>249</v>
      </c>
      <c r="J27" s="210">
        <f>'1.Фінансовий результат'!J124</f>
        <v>249</v>
      </c>
    </row>
    <row r="28" spans="1:10" ht="20.100000000000001" customHeight="1">
      <c r="A28" s="225" t="s">
        <v>476</v>
      </c>
      <c r="B28" s="236" t="s">
        <v>487</v>
      </c>
      <c r="C28" s="210">
        <v>4495</v>
      </c>
      <c r="D28" s="210">
        <v>2096</v>
      </c>
      <c r="E28" s="210">
        <f>1527*2</f>
        <v>3054</v>
      </c>
      <c r="F28" s="210">
        <f>'2. Розрахунки з бюджетом'!F22+'2. Розрахунки з бюджетом'!F18+'2. Розрахунки з бюджетом'!F19+'2. Розрахунки з бюджетом'!F20</f>
        <v>5899.2</v>
      </c>
      <c r="G28" s="210">
        <f>F28/4</f>
        <v>1474.8</v>
      </c>
      <c r="H28" s="210">
        <f>G28</f>
        <v>1474.8</v>
      </c>
      <c r="I28" s="210">
        <f>H28</f>
        <v>1474.8</v>
      </c>
      <c r="J28" s="210">
        <f>I28</f>
        <v>1474.8</v>
      </c>
    </row>
    <row r="29" spans="1:10">
      <c r="A29" s="225" t="s">
        <v>477</v>
      </c>
      <c r="B29" s="236" t="s">
        <v>488</v>
      </c>
      <c r="C29" s="210">
        <v>1413</v>
      </c>
      <c r="D29" s="210">
        <v>1520</v>
      </c>
      <c r="E29" s="210">
        <f>914*2</f>
        <v>1828</v>
      </c>
      <c r="F29" s="210">
        <f>'2. Розрахунки з бюджетом'!F20</f>
        <v>2374</v>
      </c>
      <c r="G29" s="210">
        <f>F29/4</f>
        <v>593.5</v>
      </c>
      <c r="H29" s="210">
        <f>'2. Розрахунки з бюджетом'!H20</f>
        <v>593.5</v>
      </c>
      <c r="I29" s="210">
        <f>'2. Розрахунки з бюджетом'!I20</f>
        <v>593.5</v>
      </c>
      <c r="J29" s="210">
        <f>'2. Розрахунки з бюджетом'!J20</f>
        <v>593.5</v>
      </c>
    </row>
    <row r="30" spans="1:10" ht="20.100000000000001" customHeight="1">
      <c r="A30" s="225" t="s">
        <v>478</v>
      </c>
      <c r="B30" s="236" t="s">
        <v>489</v>
      </c>
      <c r="C30" s="210">
        <v>177</v>
      </c>
      <c r="D30" s="210">
        <v>912</v>
      </c>
      <c r="E30" s="210">
        <f>18*2</f>
        <v>36</v>
      </c>
      <c r="F30" s="210">
        <v>8</v>
      </c>
      <c r="G30" s="210">
        <f>F30/4</f>
        <v>2</v>
      </c>
      <c r="H30" s="210">
        <f>G30</f>
        <v>2</v>
      </c>
      <c r="I30" s="210">
        <f>H30</f>
        <v>2</v>
      </c>
      <c r="J30" s="210">
        <f>I30</f>
        <v>2</v>
      </c>
    </row>
    <row r="31" spans="1:10" ht="20.100000000000001" customHeight="1">
      <c r="A31" s="19" t="s">
        <v>131</v>
      </c>
      <c r="B31" s="101">
        <v>3080</v>
      </c>
      <c r="C31" s="210">
        <v>475</v>
      </c>
      <c r="D31" s="210">
        <f>'2. Розрахунки з бюджетом'!D19</f>
        <v>14.4</v>
      </c>
      <c r="E31" s="210">
        <f>132*2</f>
        <v>264</v>
      </c>
      <c r="F31" s="210">
        <f>'2. Розрахунки з бюджетом'!F19</f>
        <v>79.2</v>
      </c>
      <c r="G31" s="210">
        <f>'2. Розрахунки з бюджетом'!G19</f>
        <v>19.8</v>
      </c>
      <c r="H31" s="210">
        <f>'2. Розрахунки з бюджетом'!H19</f>
        <v>19.8</v>
      </c>
      <c r="I31" s="210">
        <f>'2. Розрахунки з бюджетом'!I19</f>
        <v>19.8</v>
      </c>
      <c r="J31" s="210">
        <f>'2. Розрахунки з бюджетом'!J19</f>
        <v>19.8</v>
      </c>
    </row>
    <row r="32" spans="1:10" ht="20.100000000000001" customHeight="1">
      <c r="A32" s="104" t="s">
        <v>115</v>
      </c>
      <c r="B32" s="101">
        <v>3090</v>
      </c>
      <c r="C32" s="210">
        <f>C17-C23+C29</f>
        <v>-7162</v>
      </c>
      <c r="D32" s="210">
        <f>D17-D23</f>
        <v>-5938.4000000000015</v>
      </c>
      <c r="E32" s="210">
        <f>E17-E23+E29</f>
        <v>-9292</v>
      </c>
      <c r="F32" s="210">
        <f>F18-F23</f>
        <v>-8787.1999999999971</v>
      </c>
      <c r="G32" s="210">
        <f t="shared" ref="G32:J32" si="5">G18-G23</f>
        <v>-2196.7999999999993</v>
      </c>
      <c r="H32" s="210">
        <f t="shared" si="5"/>
        <v>-2196.7999999999993</v>
      </c>
      <c r="I32" s="210">
        <f t="shared" si="5"/>
        <v>-2196.7999999999993</v>
      </c>
      <c r="J32" s="210">
        <f t="shared" si="5"/>
        <v>-2196.7999999999993</v>
      </c>
    </row>
    <row r="33" spans="1:10" ht="33.75" customHeight="1">
      <c r="A33" s="286" t="s">
        <v>117</v>
      </c>
      <c r="B33" s="286"/>
      <c r="C33" s="286"/>
      <c r="D33" s="286"/>
      <c r="E33" s="286"/>
      <c r="F33" s="286"/>
      <c r="G33" s="286"/>
      <c r="H33" s="286"/>
      <c r="I33" s="286"/>
      <c r="J33" s="286"/>
    </row>
    <row r="34" spans="1:10" ht="20.100000000000001" customHeight="1">
      <c r="A34" s="222" t="s">
        <v>186</v>
      </c>
      <c r="B34" s="5"/>
      <c r="C34" s="210">
        <v>0</v>
      </c>
      <c r="D34" s="210">
        <v>0</v>
      </c>
      <c r="E34" s="210">
        <f>E39</f>
        <v>28</v>
      </c>
      <c r="F34" s="210">
        <f>F35+F36+F37+F38+F41+F42</f>
        <v>2748.3</v>
      </c>
      <c r="G34" s="210">
        <f t="shared" ref="G34:J34" si="6">G35+G36+G37+G38+G41+G42</f>
        <v>0</v>
      </c>
      <c r="H34" s="210">
        <f t="shared" si="6"/>
        <v>1000</v>
      </c>
      <c r="I34" s="210">
        <f t="shared" si="6"/>
        <v>1000</v>
      </c>
      <c r="J34" s="210">
        <f t="shared" si="6"/>
        <v>748.3</v>
      </c>
    </row>
    <row r="35" spans="1:10" ht="20.100000000000001" customHeight="1">
      <c r="A35" s="4" t="s">
        <v>13</v>
      </c>
      <c r="B35" s="5">
        <v>3200</v>
      </c>
      <c r="C35" s="210">
        <v>0</v>
      </c>
      <c r="D35" s="210">
        <v>0</v>
      </c>
      <c r="E35" s="210">
        <v>0</v>
      </c>
      <c r="F35" s="210">
        <v>0</v>
      </c>
      <c r="G35" s="210">
        <v>0</v>
      </c>
      <c r="H35" s="210">
        <v>0</v>
      </c>
      <c r="I35" s="210">
        <v>0</v>
      </c>
      <c r="J35" s="210">
        <v>0</v>
      </c>
    </row>
    <row r="36" spans="1:10" ht="20.100000000000001" customHeight="1">
      <c r="A36" s="4" t="s">
        <v>14</v>
      </c>
      <c r="B36" s="5">
        <v>3210</v>
      </c>
      <c r="C36" s="210">
        <v>0</v>
      </c>
      <c r="D36" s="210">
        <v>0</v>
      </c>
      <c r="E36" s="210">
        <v>0</v>
      </c>
      <c r="F36" s="210">
        <v>0</v>
      </c>
      <c r="G36" s="210">
        <v>0</v>
      </c>
      <c r="H36" s="210">
        <v>0</v>
      </c>
      <c r="I36" s="210">
        <v>0</v>
      </c>
      <c r="J36" s="210">
        <v>0</v>
      </c>
    </row>
    <row r="37" spans="1:10" ht="20.100000000000001" customHeight="1">
      <c r="A37" s="4" t="s">
        <v>35</v>
      </c>
      <c r="B37" s="5">
        <v>3220</v>
      </c>
      <c r="C37" s="210">
        <v>0</v>
      </c>
      <c r="D37" s="210">
        <v>0</v>
      </c>
      <c r="E37" s="210">
        <v>0</v>
      </c>
      <c r="F37" s="210">
        <v>0</v>
      </c>
      <c r="G37" s="210">
        <v>0</v>
      </c>
      <c r="H37" s="210">
        <v>0</v>
      </c>
      <c r="I37" s="210">
        <v>0</v>
      </c>
      <c r="J37" s="210">
        <v>0</v>
      </c>
    </row>
    <row r="38" spans="1:10" ht="20.100000000000001" customHeight="1">
      <c r="A38" s="19" t="s">
        <v>121</v>
      </c>
      <c r="B38" s="5"/>
      <c r="C38" s="210">
        <v>0</v>
      </c>
      <c r="D38" s="210">
        <v>0</v>
      </c>
      <c r="E38" s="210">
        <v>0</v>
      </c>
      <c r="F38" s="210">
        <v>0</v>
      </c>
      <c r="G38" s="210">
        <v>0</v>
      </c>
      <c r="H38" s="210">
        <v>0</v>
      </c>
      <c r="I38" s="210">
        <v>0</v>
      </c>
      <c r="J38" s="210">
        <v>0</v>
      </c>
    </row>
    <row r="39" spans="1:10" ht="20.100000000000001" customHeight="1">
      <c r="A39" s="4" t="s">
        <v>122</v>
      </c>
      <c r="B39" s="5">
        <v>3230</v>
      </c>
      <c r="C39" s="210">
        <v>38</v>
      </c>
      <c r="D39" s="210">
        <v>28</v>
      </c>
      <c r="E39" s="210">
        <f>14*2</f>
        <v>28</v>
      </c>
      <c r="F39" s="210">
        <v>28</v>
      </c>
      <c r="G39" s="210">
        <f>F39/4</f>
        <v>7</v>
      </c>
      <c r="H39" s="210">
        <f>G39</f>
        <v>7</v>
      </c>
      <c r="I39" s="210">
        <f>H39</f>
        <v>7</v>
      </c>
      <c r="J39" s="210">
        <f>I39</f>
        <v>7</v>
      </c>
    </row>
    <row r="40" spans="1:10" ht="20.100000000000001" customHeight="1">
      <c r="A40" s="4" t="s">
        <v>123</v>
      </c>
      <c r="B40" s="5">
        <v>3240</v>
      </c>
      <c r="C40" s="210">
        <v>0</v>
      </c>
      <c r="D40" s="210">
        <v>0</v>
      </c>
      <c r="E40" s="210">
        <v>0</v>
      </c>
      <c r="F40" s="210">
        <v>0</v>
      </c>
      <c r="G40" s="210">
        <v>0</v>
      </c>
      <c r="H40" s="210">
        <v>0</v>
      </c>
      <c r="I40" s="210">
        <v>0</v>
      </c>
      <c r="J40" s="210">
        <v>0</v>
      </c>
    </row>
    <row r="41" spans="1:10" ht="20.100000000000001" customHeight="1">
      <c r="A41" s="19" t="s">
        <v>124</v>
      </c>
      <c r="B41" s="5">
        <v>3250</v>
      </c>
      <c r="C41" s="210">
        <v>0</v>
      </c>
      <c r="D41" s="210">
        <v>0</v>
      </c>
      <c r="E41" s="210">
        <v>0</v>
      </c>
      <c r="F41" s="210">
        <v>0</v>
      </c>
      <c r="G41" s="210">
        <v>0</v>
      </c>
      <c r="H41" s="210">
        <v>0</v>
      </c>
      <c r="I41" s="210">
        <v>0</v>
      </c>
      <c r="J41" s="210">
        <v>0</v>
      </c>
    </row>
    <row r="42" spans="1:10" ht="20.100000000000001" customHeight="1">
      <c r="A42" s="4" t="s">
        <v>90</v>
      </c>
      <c r="B42" s="5">
        <v>3260</v>
      </c>
      <c r="C42" s="210">
        <v>0</v>
      </c>
      <c r="D42" s="210">
        <v>0</v>
      </c>
      <c r="E42" s="210">
        <v>0</v>
      </c>
      <c r="F42" s="210">
        <f>'4. Кап. інвестиції'!F18</f>
        <v>2748.3</v>
      </c>
      <c r="G42" s="210">
        <f>'4. Кап. інвестиції'!G18</f>
        <v>0</v>
      </c>
      <c r="H42" s="210">
        <f>'4. Кап. інвестиції'!H18</f>
        <v>1000</v>
      </c>
      <c r="I42" s="210">
        <f>'4. Кап. інвестиції'!I18</f>
        <v>1000</v>
      </c>
      <c r="J42" s="210">
        <f>'4. Кап. інвестиції'!J18</f>
        <v>748.3</v>
      </c>
    </row>
    <row r="43" spans="1:10" ht="20.100000000000001" customHeight="1">
      <c r="A43" s="222" t="s">
        <v>188</v>
      </c>
      <c r="B43" s="5"/>
      <c r="C43" s="210">
        <v>0</v>
      </c>
      <c r="D43" s="210">
        <v>0</v>
      </c>
      <c r="E43" s="210">
        <v>0</v>
      </c>
      <c r="F43" s="210">
        <f>SUM(F44:F48)</f>
        <v>2748.3</v>
      </c>
      <c r="G43" s="210">
        <f t="shared" ref="G43:J43" si="7">SUM(G44:G48)</f>
        <v>0</v>
      </c>
      <c r="H43" s="210">
        <f t="shared" si="7"/>
        <v>1000</v>
      </c>
      <c r="I43" s="210">
        <f t="shared" si="7"/>
        <v>1000</v>
      </c>
      <c r="J43" s="210">
        <f t="shared" si="7"/>
        <v>748.3</v>
      </c>
    </row>
    <row r="44" spans="1:10" ht="37.5">
      <c r="A44" s="4" t="s">
        <v>91</v>
      </c>
      <c r="B44" s="5">
        <v>3270</v>
      </c>
      <c r="C44" s="210">
        <v>0</v>
      </c>
      <c r="D44" s="210">
        <v>0</v>
      </c>
      <c r="E44" s="210">
        <v>0</v>
      </c>
      <c r="F44" s="210">
        <v>0</v>
      </c>
      <c r="G44" s="210">
        <v>0</v>
      </c>
      <c r="H44" s="210">
        <v>0</v>
      </c>
      <c r="I44" s="210">
        <v>0</v>
      </c>
      <c r="J44" s="210">
        <v>0</v>
      </c>
    </row>
    <row r="45" spans="1:10" ht="20.100000000000001" customHeight="1">
      <c r="A45" s="4" t="s">
        <v>92</v>
      </c>
      <c r="B45" s="5">
        <v>3280</v>
      </c>
      <c r="C45" s="210">
        <v>0</v>
      </c>
      <c r="D45" s="210">
        <v>0</v>
      </c>
      <c r="E45" s="210">
        <v>0</v>
      </c>
      <c r="F45" s="210">
        <f>F42</f>
        <v>2748.3</v>
      </c>
      <c r="G45" s="210">
        <f t="shared" ref="G45:J45" si="8">G42</f>
        <v>0</v>
      </c>
      <c r="H45" s="210">
        <f t="shared" si="8"/>
        <v>1000</v>
      </c>
      <c r="I45" s="210">
        <f t="shared" si="8"/>
        <v>1000</v>
      </c>
      <c r="J45" s="210">
        <f t="shared" si="8"/>
        <v>748.3</v>
      </c>
    </row>
    <row r="46" spans="1:10" ht="37.5">
      <c r="A46" s="4" t="s">
        <v>93</v>
      </c>
      <c r="B46" s="5">
        <v>3290</v>
      </c>
      <c r="C46" s="210">
        <v>0</v>
      </c>
      <c r="D46" s="210">
        <v>0</v>
      </c>
      <c r="E46" s="210">
        <v>0</v>
      </c>
      <c r="F46" s="210">
        <v>0</v>
      </c>
      <c r="G46" s="210">
        <v>0</v>
      </c>
      <c r="H46" s="210">
        <v>0</v>
      </c>
      <c r="I46" s="210">
        <v>0</v>
      </c>
      <c r="J46" s="210">
        <v>0</v>
      </c>
    </row>
    <row r="47" spans="1:10" ht="20.100000000000001" customHeight="1">
      <c r="A47" s="4" t="s">
        <v>36</v>
      </c>
      <c r="B47" s="5">
        <v>3300</v>
      </c>
      <c r="C47" s="210">
        <v>0</v>
      </c>
      <c r="D47" s="210">
        <v>0</v>
      </c>
      <c r="E47" s="210">
        <v>0</v>
      </c>
      <c r="F47" s="210">
        <v>0</v>
      </c>
      <c r="G47" s="210">
        <v>0</v>
      </c>
      <c r="H47" s="210">
        <v>0</v>
      </c>
      <c r="I47" s="210">
        <v>0</v>
      </c>
      <c r="J47" s="210">
        <v>0</v>
      </c>
    </row>
    <row r="48" spans="1:10" ht="20.100000000000001" customHeight="1">
      <c r="A48" s="4" t="s">
        <v>85</v>
      </c>
      <c r="B48" s="5">
        <v>3310</v>
      </c>
      <c r="C48" s="210">
        <v>3</v>
      </c>
      <c r="D48" s="210">
        <v>0</v>
      </c>
      <c r="E48" s="210">
        <v>0</v>
      </c>
      <c r="F48" s="210">
        <v>0</v>
      </c>
      <c r="G48" s="210">
        <v>0</v>
      </c>
      <c r="H48" s="210">
        <v>0</v>
      </c>
      <c r="I48" s="210">
        <v>0</v>
      </c>
      <c r="J48" s="210">
        <v>0</v>
      </c>
    </row>
    <row r="49" spans="1:10" ht="20.100000000000001" customHeight="1">
      <c r="A49" s="222" t="s">
        <v>118</v>
      </c>
      <c r="B49" s="6">
        <v>3320</v>
      </c>
      <c r="C49" s="233">
        <f>C39-C48</f>
        <v>35</v>
      </c>
      <c r="D49" s="233">
        <f>D39-D48</f>
        <v>28</v>
      </c>
      <c r="E49" s="233">
        <f>E34-E43</f>
        <v>28</v>
      </c>
      <c r="F49" s="233">
        <f>F34-F43</f>
        <v>0</v>
      </c>
      <c r="G49" s="233">
        <f t="shared" ref="G49:J49" si="9">G34-G43</f>
        <v>0</v>
      </c>
      <c r="H49" s="233">
        <f t="shared" si="9"/>
        <v>0</v>
      </c>
      <c r="I49" s="233">
        <f t="shared" si="9"/>
        <v>0</v>
      </c>
      <c r="J49" s="233">
        <f t="shared" si="9"/>
        <v>0</v>
      </c>
    </row>
    <row r="50" spans="1:10" ht="26.25" customHeight="1">
      <c r="A50" s="286" t="s">
        <v>119</v>
      </c>
      <c r="B50" s="286"/>
      <c r="C50" s="286"/>
      <c r="D50" s="286"/>
      <c r="E50" s="286"/>
      <c r="F50" s="286"/>
      <c r="G50" s="286"/>
      <c r="H50" s="286"/>
      <c r="I50" s="286"/>
      <c r="J50" s="286"/>
    </row>
    <row r="51" spans="1:10" ht="20.100000000000001" customHeight="1">
      <c r="A51" s="222" t="s">
        <v>187</v>
      </c>
      <c r="B51" s="5"/>
      <c r="C51" s="233">
        <f>SUM(C52:C62)</f>
        <v>7911</v>
      </c>
      <c r="D51" s="233">
        <f t="shared" ref="D51:J51" si="10">D52+D53+D57+D61+D62</f>
        <v>6000</v>
      </c>
      <c r="E51" s="233">
        <f t="shared" si="10"/>
        <v>9280</v>
      </c>
      <c r="F51" s="233">
        <f t="shared" si="10"/>
        <v>8800</v>
      </c>
      <c r="G51" s="233">
        <f t="shared" si="10"/>
        <v>2200</v>
      </c>
      <c r="H51" s="233">
        <f t="shared" si="10"/>
        <v>2200</v>
      </c>
      <c r="I51" s="233">
        <f t="shared" si="10"/>
        <v>2200</v>
      </c>
      <c r="J51" s="233">
        <f t="shared" si="10"/>
        <v>2200</v>
      </c>
    </row>
    <row r="52" spans="1:10" ht="20.100000000000001" customHeight="1">
      <c r="A52" s="19" t="s">
        <v>125</v>
      </c>
      <c r="B52" s="5">
        <v>3400</v>
      </c>
      <c r="C52" s="210">
        <v>0</v>
      </c>
      <c r="D52" s="210">
        <v>0</v>
      </c>
      <c r="E52" s="210">
        <v>0</v>
      </c>
      <c r="F52" s="210">
        <v>0</v>
      </c>
      <c r="G52" s="210">
        <v>0</v>
      </c>
      <c r="H52" s="210">
        <v>0</v>
      </c>
      <c r="I52" s="210">
        <v>0</v>
      </c>
      <c r="J52" s="210">
        <v>0</v>
      </c>
    </row>
    <row r="53" spans="1:10" ht="37.5">
      <c r="A53" s="4" t="s">
        <v>70</v>
      </c>
      <c r="B53" s="3"/>
      <c r="C53" s="210">
        <v>0</v>
      </c>
      <c r="D53" s="210">
        <v>0</v>
      </c>
      <c r="E53" s="210">
        <v>0</v>
      </c>
      <c r="F53" s="210">
        <v>0</v>
      </c>
      <c r="G53" s="210">
        <v>0</v>
      </c>
      <c r="H53" s="210">
        <v>0</v>
      </c>
      <c r="I53" s="210">
        <v>0</v>
      </c>
      <c r="J53" s="210">
        <v>0</v>
      </c>
    </row>
    <row r="54" spans="1:10" ht="20.100000000000001" customHeight="1">
      <c r="A54" s="4" t="s">
        <v>69</v>
      </c>
      <c r="B54" s="5">
        <v>3410</v>
      </c>
      <c r="C54" s="210">
        <v>0</v>
      </c>
      <c r="D54" s="210">
        <v>0</v>
      </c>
      <c r="E54" s="210">
        <v>0</v>
      </c>
      <c r="F54" s="210">
        <v>0</v>
      </c>
      <c r="G54" s="210">
        <v>0</v>
      </c>
      <c r="H54" s="210">
        <v>0</v>
      </c>
      <c r="I54" s="210">
        <v>0</v>
      </c>
      <c r="J54" s="210">
        <v>0</v>
      </c>
    </row>
    <row r="55" spans="1:10" ht="20.100000000000001" customHeight="1">
      <c r="A55" s="4" t="s">
        <v>74</v>
      </c>
      <c r="B55" s="101">
        <v>3420</v>
      </c>
      <c r="C55" s="210">
        <v>0</v>
      </c>
      <c r="D55" s="210">
        <v>0</v>
      </c>
      <c r="E55" s="210">
        <v>0</v>
      </c>
      <c r="F55" s="210">
        <v>0</v>
      </c>
      <c r="G55" s="210">
        <v>0</v>
      </c>
      <c r="H55" s="210">
        <v>0</v>
      </c>
      <c r="I55" s="210">
        <v>0</v>
      </c>
      <c r="J55" s="210">
        <v>0</v>
      </c>
    </row>
    <row r="56" spans="1:10" ht="20.100000000000001" customHeight="1">
      <c r="A56" s="4" t="s">
        <v>94</v>
      </c>
      <c r="B56" s="5">
        <v>3430</v>
      </c>
      <c r="C56" s="210">
        <v>0</v>
      </c>
      <c r="D56" s="210">
        <v>0</v>
      </c>
      <c r="E56" s="210">
        <v>0</v>
      </c>
      <c r="F56" s="210">
        <v>0</v>
      </c>
      <c r="G56" s="210">
        <v>0</v>
      </c>
      <c r="H56" s="210">
        <v>0</v>
      </c>
      <c r="I56" s="210">
        <v>0</v>
      </c>
      <c r="J56" s="210">
        <v>0</v>
      </c>
    </row>
    <row r="57" spans="1:10" ht="37.5">
      <c r="A57" s="4" t="s">
        <v>72</v>
      </c>
      <c r="B57" s="5"/>
      <c r="C57" s="210">
        <v>0</v>
      </c>
      <c r="D57" s="210">
        <v>0</v>
      </c>
      <c r="E57" s="210">
        <f>SUM(E58:E60)</f>
        <v>0</v>
      </c>
      <c r="F57" s="210">
        <f>SUM(F58:F60)</f>
        <v>0</v>
      </c>
      <c r="G57" s="210">
        <f t="shared" ref="G57:J57" si="11">SUM(G58:G60)</f>
        <v>0</v>
      </c>
      <c r="H57" s="210">
        <f t="shared" si="11"/>
        <v>0</v>
      </c>
      <c r="I57" s="210">
        <f t="shared" si="11"/>
        <v>0</v>
      </c>
      <c r="J57" s="210">
        <f t="shared" si="11"/>
        <v>0</v>
      </c>
    </row>
    <row r="58" spans="1:10" ht="20.100000000000001" customHeight="1">
      <c r="A58" s="4" t="s">
        <v>69</v>
      </c>
      <c r="B58" s="101">
        <v>3440</v>
      </c>
      <c r="C58" s="210">
        <v>0</v>
      </c>
      <c r="D58" s="210">
        <v>0</v>
      </c>
      <c r="E58" s="210">
        <v>0</v>
      </c>
      <c r="F58" s="210">
        <v>0</v>
      </c>
      <c r="G58" s="210">
        <v>0</v>
      </c>
      <c r="H58" s="210">
        <v>0</v>
      </c>
      <c r="I58" s="210">
        <v>0</v>
      </c>
      <c r="J58" s="210">
        <v>0</v>
      </c>
    </row>
    <row r="59" spans="1:10" ht="20.100000000000001" customHeight="1">
      <c r="A59" s="4" t="s">
        <v>74</v>
      </c>
      <c r="B59" s="101">
        <v>3450</v>
      </c>
      <c r="C59" s="210">
        <v>158</v>
      </c>
      <c r="D59" s="210">
        <v>0</v>
      </c>
      <c r="E59" s="210">
        <v>0</v>
      </c>
      <c r="F59" s="210">
        <v>0</v>
      </c>
      <c r="G59" s="210">
        <v>0</v>
      </c>
      <c r="H59" s="210">
        <v>0</v>
      </c>
      <c r="I59" s="210">
        <v>0</v>
      </c>
      <c r="J59" s="210">
        <v>0</v>
      </c>
    </row>
    <row r="60" spans="1:10" ht="20.100000000000001" customHeight="1">
      <c r="A60" s="4" t="s">
        <v>94</v>
      </c>
      <c r="B60" s="101">
        <v>3460</v>
      </c>
      <c r="C60" s="210">
        <v>0</v>
      </c>
      <c r="D60" s="210">
        <v>0</v>
      </c>
      <c r="E60" s="210">
        <v>0</v>
      </c>
      <c r="F60" s="210">
        <v>0</v>
      </c>
      <c r="G60" s="210">
        <v>0</v>
      </c>
      <c r="H60" s="210">
        <v>0</v>
      </c>
      <c r="I60" s="210">
        <v>0</v>
      </c>
      <c r="J60" s="210">
        <v>0</v>
      </c>
    </row>
    <row r="61" spans="1:10" ht="20.100000000000001" customHeight="1">
      <c r="A61" s="4" t="s">
        <v>497</v>
      </c>
      <c r="B61" s="101">
        <v>3470</v>
      </c>
      <c r="C61" s="210">
        <v>7753</v>
      </c>
      <c r="D61" s="210">
        <f>'1.Фінансовий результат'!D10</f>
        <v>6000</v>
      </c>
      <c r="E61" s="210">
        <f>4640*2</f>
        <v>9280</v>
      </c>
      <c r="F61" s="210">
        <f>'1.Фінансовий результат'!F10</f>
        <v>8800</v>
      </c>
      <c r="G61" s="210">
        <f>'1.Фінансовий результат'!G10</f>
        <v>2200</v>
      </c>
      <c r="H61" s="210">
        <f>'1.Фінансовий результат'!H10</f>
        <v>2200</v>
      </c>
      <c r="I61" s="210">
        <f>'1.Фінансовий результат'!I10</f>
        <v>2200</v>
      </c>
      <c r="J61" s="210">
        <f>'1.Фінансовий результат'!J10</f>
        <v>2200</v>
      </c>
    </row>
    <row r="62" spans="1:10">
      <c r="A62" s="4" t="s">
        <v>90</v>
      </c>
      <c r="B62" s="101">
        <v>3480</v>
      </c>
      <c r="C62" s="210">
        <v>0</v>
      </c>
      <c r="D62" s="210">
        <v>0</v>
      </c>
      <c r="E62" s="210">
        <v>0</v>
      </c>
      <c r="F62" s="210">
        <v>0</v>
      </c>
      <c r="G62" s="210">
        <v>0</v>
      </c>
      <c r="H62" s="210">
        <v>0</v>
      </c>
      <c r="I62" s="210">
        <v>0</v>
      </c>
      <c r="J62" s="210">
        <v>0</v>
      </c>
    </row>
    <row r="63" spans="1:10" s="9" customFormat="1" ht="20.100000000000001" customHeight="1">
      <c r="A63" s="222" t="s">
        <v>188</v>
      </c>
      <c r="B63" s="6"/>
      <c r="C63" s="233">
        <f>SUM(C65:C74)</f>
        <v>324</v>
      </c>
      <c r="D63" s="233">
        <f t="shared" ref="D63" si="12">D64+D65+D66+D70+D74</f>
        <v>0</v>
      </c>
      <c r="E63" s="233">
        <f>E64+E65+E66+E70+E74</f>
        <v>0</v>
      </c>
      <c r="F63" s="233">
        <f t="shared" ref="F63:J63" si="13">F64+F65+F66+F70+F74</f>
        <v>0</v>
      </c>
      <c r="G63" s="233">
        <f t="shared" si="13"/>
        <v>0</v>
      </c>
      <c r="H63" s="233">
        <f t="shared" si="13"/>
        <v>0</v>
      </c>
      <c r="I63" s="233">
        <f t="shared" si="13"/>
        <v>0</v>
      </c>
      <c r="J63" s="233">
        <f t="shared" si="13"/>
        <v>0</v>
      </c>
    </row>
    <row r="64" spans="1:10" ht="39.75" customHeight="1">
      <c r="A64" s="4" t="s">
        <v>196</v>
      </c>
      <c r="B64" s="5">
        <v>3490</v>
      </c>
      <c r="C64" s="210">
        <v>0</v>
      </c>
      <c r="D64" s="210">
        <v>0</v>
      </c>
      <c r="E64" s="210">
        <v>0</v>
      </c>
      <c r="F64" s="210">
        <v>0</v>
      </c>
      <c r="G64" s="210">
        <v>0</v>
      </c>
      <c r="H64" s="210">
        <v>0</v>
      </c>
      <c r="I64" s="210">
        <v>0</v>
      </c>
      <c r="J64" s="210">
        <v>0</v>
      </c>
    </row>
    <row r="65" spans="1:10" ht="20.100000000000001" customHeight="1">
      <c r="A65" s="4" t="s">
        <v>197</v>
      </c>
      <c r="B65" s="5">
        <v>3500</v>
      </c>
      <c r="C65" s="210">
        <v>0</v>
      </c>
      <c r="D65" s="210">
        <v>0</v>
      </c>
      <c r="E65" s="210">
        <v>0</v>
      </c>
      <c r="F65" s="210">
        <v>0</v>
      </c>
      <c r="G65" s="210">
        <v>0</v>
      </c>
      <c r="H65" s="210">
        <v>0</v>
      </c>
      <c r="I65" s="210">
        <v>0</v>
      </c>
      <c r="J65" s="210">
        <v>0</v>
      </c>
    </row>
    <row r="66" spans="1:10" ht="37.5">
      <c r="A66" s="4" t="s">
        <v>73</v>
      </c>
      <c r="B66" s="5"/>
      <c r="C66" s="210">
        <v>0</v>
      </c>
      <c r="D66" s="210">
        <v>0</v>
      </c>
      <c r="E66" s="210">
        <v>0</v>
      </c>
      <c r="F66" s="210">
        <v>0</v>
      </c>
      <c r="G66" s="210">
        <v>0</v>
      </c>
      <c r="H66" s="210">
        <v>0</v>
      </c>
      <c r="I66" s="210">
        <v>0</v>
      </c>
      <c r="J66" s="210">
        <v>0</v>
      </c>
    </row>
    <row r="67" spans="1:10" ht="20.100000000000001" customHeight="1">
      <c r="A67" s="4" t="s">
        <v>69</v>
      </c>
      <c r="B67" s="101">
        <v>3510</v>
      </c>
      <c r="C67" s="210">
        <v>0</v>
      </c>
      <c r="D67" s="210">
        <v>0</v>
      </c>
      <c r="E67" s="210">
        <v>0</v>
      </c>
      <c r="F67" s="210">
        <v>0</v>
      </c>
      <c r="G67" s="210">
        <v>0</v>
      </c>
      <c r="H67" s="210">
        <v>0</v>
      </c>
      <c r="I67" s="210">
        <v>0</v>
      </c>
      <c r="J67" s="210">
        <v>0</v>
      </c>
    </row>
    <row r="68" spans="1:10" ht="20.100000000000001" customHeight="1">
      <c r="A68" s="4" t="s">
        <v>74</v>
      </c>
      <c r="B68" s="101">
        <v>3520</v>
      </c>
      <c r="C68" s="210">
        <v>0</v>
      </c>
      <c r="D68" s="210">
        <v>0</v>
      </c>
      <c r="E68" s="210">
        <v>0</v>
      </c>
      <c r="F68" s="210">
        <v>0</v>
      </c>
      <c r="G68" s="210">
        <v>0</v>
      </c>
      <c r="H68" s="210">
        <v>0</v>
      </c>
      <c r="I68" s="210">
        <v>0</v>
      </c>
      <c r="J68" s="210">
        <v>0</v>
      </c>
    </row>
    <row r="69" spans="1:10" ht="20.100000000000001" customHeight="1">
      <c r="A69" s="4" t="s">
        <v>94</v>
      </c>
      <c r="B69" s="101">
        <v>3530</v>
      </c>
      <c r="C69" s="210">
        <v>0</v>
      </c>
      <c r="D69" s="210">
        <v>0</v>
      </c>
      <c r="E69" s="210">
        <v>0</v>
      </c>
      <c r="F69" s="210">
        <v>0</v>
      </c>
      <c r="G69" s="210">
        <v>0</v>
      </c>
      <c r="H69" s="210">
        <v>0</v>
      </c>
      <c r="I69" s="210">
        <v>0</v>
      </c>
      <c r="J69" s="210">
        <v>0</v>
      </c>
    </row>
    <row r="70" spans="1:10" ht="37.5">
      <c r="A70" s="4" t="s">
        <v>71</v>
      </c>
      <c r="B70" s="5"/>
      <c r="C70" s="210">
        <v>0</v>
      </c>
      <c r="D70" s="210">
        <v>0</v>
      </c>
      <c r="E70" s="210">
        <f t="shared" ref="E70:J70" si="14">E71</f>
        <v>0</v>
      </c>
      <c r="F70" s="210">
        <f t="shared" si="14"/>
        <v>0</v>
      </c>
      <c r="G70" s="210">
        <f t="shared" si="14"/>
        <v>0</v>
      </c>
      <c r="H70" s="210">
        <f t="shared" si="14"/>
        <v>0</v>
      </c>
      <c r="I70" s="210">
        <f t="shared" si="14"/>
        <v>0</v>
      </c>
      <c r="J70" s="210">
        <f t="shared" si="14"/>
        <v>0</v>
      </c>
    </row>
    <row r="71" spans="1:10" ht="20.100000000000001" customHeight="1">
      <c r="A71" s="4" t="s">
        <v>69</v>
      </c>
      <c r="B71" s="101">
        <v>3540</v>
      </c>
      <c r="C71" s="210">
        <v>0</v>
      </c>
      <c r="D71" s="210">
        <v>0</v>
      </c>
      <c r="E71" s="210">
        <v>0</v>
      </c>
      <c r="F71" s="210">
        <f>F58</f>
        <v>0</v>
      </c>
      <c r="G71" s="210">
        <f t="shared" ref="G71:J71" si="15">G58</f>
        <v>0</v>
      </c>
      <c r="H71" s="210">
        <f t="shared" si="15"/>
        <v>0</v>
      </c>
      <c r="I71" s="210">
        <f t="shared" si="15"/>
        <v>0</v>
      </c>
      <c r="J71" s="210">
        <f t="shared" si="15"/>
        <v>0</v>
      </c>
    </row>
    <row r="72" spans="1:10" ht="20.100000000000001" customHeight="1">
      <c r="A72" s="4" t="s">
        <v>74</v>
      </c>
      <c r="B72" s="101">
        <v>3550</v>
      </c>
      <c r="C72" s="210">
        <v>324</v>
      </c>
      <c r="D72" s="210">
        <v>0</v>
      </c>
      <c r="E72" s="210">
        <v>0</v>
      </c>
      <c r="F72" s="210">
        <v>0</v>
      </c>
      <c r="G72" s="210">
        <v>0</v>
      </c>
      <c r="H72" s="210">
        <v>0</v>
      </c>
      <c r="I72" s="210">
        <v>0</v>
      </c>
      <c r="J72" s="210">
        <v>0</v>
      </c>
    </row>
    <row r="73" spans="1:10" ht="20.100000000000001" customHeight="1">
      <c r="A73" s="4" t="s">
        <v>94</v>
      </c>
      <c r="B73" s="101">
        <v>3560</v>
      </c>
      <c r="C73" s="210">
        <v>0</v>
      </c>
      <c r="D73" s="210">
        <v>0</v>
      </c>
      <c r="E73" s="210">
        <v>0</v>
      </c>
      <c r="F73" s="210">
        <v>0</v>
      </c>
      <c r="G73" s="210">
        <v>0</v>
      </c>
      <c r="H73" s="210">
        <v>0</v>
      </c>
      <c r="I73" s="210">
        <v>0</v>
      </c>
      <c r="J73" s="210">
        <v>0</v>
      </c>
    </row>
    <row r="74" spans="1:10" ht="20.100000000000001" customHeight="1">
      <c r="A74" s="4" t="s">
        <v>85</v>
      </c>
      <c r="B74" s="101">
        <v>3570</v>
      </c>
      <c r="C74" s="210">
        <v>0</v>
      </c>
      <c r="D74" s="210">
        <v>0</v>
      </c>
      <c r="E74" s="210">
        <v>0</v>
      </c>
      <c r="F74" s="210">
        <v>0</v>
      </c>
      <c r="G74" s="210">
        <v>0</v>
      </c>
      <c r="H74" s="210">
        <v>0</v>
      </c>
      <c r="I74" s="210">
        <v>0</v>
      </c>
      <c r="J74" s="210">
        <v>0</v>
      </c>
    </row>
    <row r="75" spans="1:10">
      <c r="A75" s="222" t="s">
        <v>120</v>
      </c>
      <c r="B75" s="103">
        <v>3580</v>
      </c>
      <c r="C75" s="233">
        <f>C51-C63</f>
        <v>7587</v>
      </c>
      <c r="D75" s="233">
        <f t="shared" ref="D75:J75" si="16">D51-D63</f>
        <v>6000</v>
      </c>
      <c r="E75" s="233">
        <f t="shared" si="16"/>
        <v>9280</v>
      </c>
      <c r="F75" s="233">
        <f t="shared" si="16"/>
        <v>8800</v>
      </c>
      <c r="G75" s="233">
        <f t="shared" si="16"/>
        <v>2200</v>
      </c>
      <c r="H75" s="233">
        <f t="shared" si="16"/>
        <v>2200</v>
      </c>
      <c r="I75" s="233">
        <f t="shared" si="16"/>
        <v>2200</v>
      </c>
      <c r="J75" s="233">
        <f t="shared" si="16"/>
        <v>2200</v>
      </c>
    </row>
    <row r="76" spans="1:10" s="9" customFormat="1" ht="20.100000000000001" customHeight="1">
      <c r="A76" s="4" t="s">
        <v>15</v>
      </c>
      <c r="B76" s="101"/>
      <c r="C76" s="210"/>
      <c r="D76" s="210"/>
      <c r="E76" s="210"/>
      <c r="F76" s="210"/>
      <c r="G76" s="210"/>
      <c r="H76" s="210"/>
      <c r="I76" s="210"/>
      <c r="J76" s="210"/>
    </row>
    <row r="77" spans="1:10" s="9" customFormat="1">
      <c r="A77" s="104" t="s">
        <v>16</v>
      </c>
      <c r="B77" s="103">
        <v>3600</v>
      </c>
      <c r="C77" s="233">
        <v>8</v>
      </c>
      <c r="D77" s="233">
        <v>468.3</v>
      </c>
      <c r="E77" s="233">
        <v>468</v>
      </c>
      <c r="F77" s="233">
        <f>E79</f>
        <v>484</v>
      </c>
      <c r="G77" s="233">
        <f>F77</f>
        <v>484</v>
      </c>
      <c r="H77" s="233">
        <f>G79</f>
        <v>487.20000000000073</v>
      </c>
      <c r="I77" s="233">
        <f>H79</f>
        <v>490.40000000000146</v>
      </c>
      <c r="J77" s="233">
        <f>I79</f>
        <v>493.60000000000218</v>
      </c>
    </row>
    <row r="78" spans="1:10" s="9" customFormat="1" ht="20.100000000000001" customHeight="1">
      <c r="A78" s="26" t="s">
        <v>126</v>
      </c>
      <c r="B78" s="101">
        <v>3610</v>
      </c>
      <c r="C78" s="233">
        <v>0</v>
      </c>
      <c r="D78" s="233">
        <v>0</v>
      </c>
      <c r="E78" s="233">
        <v>0</v>
      </c>
      <c r="F78" s="233">
        <v>0</v>
      </c>
      <c r="G78" s="233">
        <v>0</v>
      </c>
      <c r="H78" s="233">
        <v>0</v>
      </c>
      <c r="I78" s="233">
        <v>0</v>
      </c>
      <c r="J78" s="233">
        <v>0</v>
      </c>
    </row>
    <row r="79" spans="1:10" s="9" customFormat="1">
      <c r="A79" s="104" t="s">
        <v>37</v>
      </c>
      <c r="B79" s="103">
        <v>3620</v>
      </c>
      <c r="C79" s="233">
        <f>C32+C49+C75+C77</f>
        <v>468</v>
      </c>
      <c r="D79" s="233">
        <v>89.1</v>
      </c>
      <c r="E79" s="233">
        <f t="shared" ref="E79:F79" si="17">E32+E49+E75+E77</f>
        <v>484</v>
      </c>
      <c r="F79" s="233">
        <f t="shared" si="17"/>
        <v>496.80000000000291</v>
      </c>
      <c r="G79" s="233">
        <f>G77+G80</f>
        <v>487.20000000000073</v>
      </c>
      <c r="H79" s="233">
        <f>H77+H80</f>
        <v>490.40000000000146</v>
      </c>
      <c r="I79" s="233">
        <f>I77+I80</f>
        <v>493.60000000000218</v>
      </c>
      <c r="J79" s="233">
        <f>J77+J80</f>
        <v>496.80000000000291</v>
      </c>
    </row>
    <row r="80" spans="1:10" s="9" customFormat="1">
      <c r="A80" s="104" t="s">
        <v>17</v>
      </c>
      <c r="B80" s="103">
        <v>3630</v>
      </c>
      <c r="C80" s="233">
        <f>C32+C49+C75</f>
        <v>460</v>
      </c>
      <c r="D80" s="233">
        <f>D32+D49+D75</f>
        <v>89.599999999998545</v>
      </c>
      <c r="E80" s="233">
        <f t="shared" ref="E80:J80" si="18">E32+E49+E75</f>
        <v>16</v>
      </c>
      <c r="F80" s="233">
        <f t="shared" si="18"/>
        <v>12.80000000000291</v>
      </c>
      <c r="G80" s="233">
        <f t="shared" si="18"/>
        <v>3.2000000000007276</v>
      </c>
      <c r="H80" s="233">
        <f t="shared" si="18"/>
        <v>3.2000000000007276</v>
      </c>
      <c r="I80" s="233">
        <f t="shared" si="18"/>
        <v>3.2000000000007276</v>
      </c>
      <c r="J80" s="233">
        <f t="shared" si="18"/>
        <v>3.2000000000007276</v>
      </c>
    </row>
    <row r="81" spans="1:10" s="9" customFormat="1" ht="20.100000000000001" customHeight="1">
      <c r="A81" s="2"/>
      <c r="B81" s="16"/>
      <c r="C81" s="18"/>
      <c r="D81" s="18"/>
      <c r="E81" s="18"/>
      <c r="F81" s="237"/>
      <c r="G81" s="17"/>
      <c r="H81" s="17"/>
      <c r="I81" s="17"/>
      <c r="J81" s="17"/>
    </row>
    <row r="82" spans="1:10" s="9" customFormat="1" ht="20.100000000000001" customHeight="1">
      <c r="A82" s="2"/>
      <c r="B82" s="16"/>
      <c r="C82" s="18"/>
      <c r="D82" s="18"/>
      <c r="E82" s="18"/>
      <c r="F82" s="237"/>
      <c r="G82" s="17"/>
      <c r="H82" s="17"/>
      <c r="I82" s="17"/>
      <c r="J82" s="17"/>
    </row>
    <row r="83" spans="1:10" s="107" customFormat="1" ht="19.5" customHeight="1">
      <c r="A83" s="54" t="s">
        <v>508</v>
      </c>
      <c r="B83" s="16"/>
      <c r="C83" s="284" t="s">
        <v>81</v>
      </c>
      <c r="D83" s="284"/>
      <c r="E83" s="284"/>
      <c r="F83" s="285"/>
      <c r="G83" s="68"/>
      <c r="H83" s="275" t="s">
        <v>520</v>
      </c>
      <c r="I83" s="275"/>
      <c r="J83" s="275"/>
    </row>
    <row r="84" spans="1:10" ht="16.5" customHeight="1">
      <c r="A84" s="55" t="s">
        <v>59</v>
      </c>
      <c r="B84" s="52"/>
      <c r="C84" s="268" t="s">
        <v>60</v>
      </c>
      <c r="D84" s="268"/>
      <c r="E84" s="268"/>
      <c r="F84" s="268"/>
      <c r="G84" s="53"/>
      <c r="H84" s="268" t="s">
        <v>78</v>
      </c>
      <c r="I84" s="268"/>
      <c r="J84" s="268"/>
    </row>
    <row r="85" spans="1:10">
      <c r="C85" s="3"/>
      <c r="D85" s="3"/>
      <c r="E85" s="3"/>
    </row>
    <row r="86" spans="1:10">
      <c r="C86" s="3"/>
      <c r="D86" s="3"/>
      <c r="E86" s="3"/>
    </row>
    <row r="87" spans="1:10">
      <c r="C87" s="3"/>
      <c r="D87" s="3"/>
      <c r="E87" s="3"/>
    </row>
    <row r="88" spans="1:10">
      <c r="C88" s="3"/>
      <c r="D88" s="3"/>
      <c r="E88" s="3"/>
    </row>
    <row r="89" spans="1:10">
      <c r="C89" s="3"/>
      <c r="D89" s="3"/>
      <c r="E89" s="3"/>
    </row>
    <row r="90" spans="1:10">
      <c r="C90" s="3"/>
      <c r="D90" s="3"/>
      <c r="E90" s="3"/>
    </row>
    <row r="91" spans="1:10">
      <c r="C91" s="3"/>
      <c r="D91" s="3"/>
      <c r="E91" s="3"/>
    </row>
    <row r="92" spans="1:10">
      <c r="C92" s="3"/>
      <c r="D92" s="3"/>
      <c r="E92" s="3"/>
    </row>
    <row r="93" spans="1:10">
      <c r="C93" s="3"/>
      <c r="D93" s="3"/>
      <c r="E93" s="3"/>
    </row>
    <row r="94" spans="1:10">
      <c r="C94" s="3"/>
      <c r="D94" s="3"/>
      <c r="E94" s="3"/>
    </row>
    <row r="95" spans="1:10">
      <c r="C95" s="3"/>
      <c r="D95" s="3"/>
      <c r="E95" s="3"/>
    </row>
    <row r="96" spans="1:10">
      <c r="C96" s="3"/>
      <c r="D96" s="3"/>
      <c r="E96" s="3"/>
    </row>
    <row r="97" spans="3:5">
      <c r="C97" s="3"/>
      <c r="D97" s="3"/>
      <c r="E97" s="3"/>
    </row>
    <row r="98" spans="3:5">
      <c r="C98" s="3"/>
      <c r="D98" s="3"/>
      <c r="E98" s="3"/>
    </row>
    <row r="99" spans="3:5">
      <c r="C99" s="3"/>
      <c r="D99" s="3"/>
      <c r="E99" s="3"/>
    </row>
    <row r="100" spans="3:5">
      <c r="C100" s="3"/>
      <c r="D100" s="3"/>
      <c r="E100" s="3"/>
    </row>
    <row r="101" spans="3:5">
      <c r="C101" s="3"/>
      <c r="D101" s="3"/>
      <c r="E101" s="3"/>
    </row>
    <row r="102" spans="3:5">
      <c r="C102" s="3"/>
      <c r="D102" s="3"/>
      <c r="E102" s="3"/>
    </row>
    <row r="103" spans="3:5">
      <c r="C103" s="3"/>
      <c r="D103" s="3"/>
      <c r="E103" s="3"/>
    </row>
    <row r="104" spans="3:5">
      <c r="C104" s="3"/>
      <c r="D104" s="3"/>
      <c r="E104" s="3"/>
    </row>
    <row r="105" spans="3:5">
      <c r="C105" s="3"/>
      <c r="D105" s="3"/>
      <c r="E105" s="3"/>
    </row>
    <row r="106" spans="3:5">
      <c r="C106" s="3"/>
      <c r="D106" s="3"/>
      <c r="E106" s="3"/>
    </row>
    <row r="107" spans="3:5">
      <c r="C107" s="3"/>
      <c r="D107" s="3"/>
      <c r="E107" s="3"/>
    </row>
    <row r="108" spans="3:5">
      <c r="C108" s="3"/>
      <c r="D108" s="3"/>
      <c r="E108" s="3"/>
    </row>
    <row r="109" spans="3:5">
      <c r="C109" s="3"/>
      <c r="D109" s="3"/>
      <c r="E109" s="3"/>
    </row>
    <row r="110" spans="3:5">
      <c r="C110" s="3"/>
      <c r="D110" s="3"/>
      <c r="E110" s="3"/>
    </row>
    <row r="111" spans="3:5">
      <c r="C111" s="3"/>
      <c r="D111" s="3"/>
      <c r="E111" s="3"/>
    </row>
    <row r="112" spans="3:5">
      <c r="C112" s="3"/>
      <c r="D112" s="3"/>
      <c r="E112" s="3"/>
    </row>
    <row r="113" spans="3:5">
      <c r="C113" s="3"/>
      <c r="D113" s="3"/>
      <c r="E113" s="3"/>
    </row>
    <row r="114" spans="3:5">
      <c r="C114" s="3"/>
      <c r="D114" s="3"/>
      <c r="E114" s="3"/>
    </row>
    <row r="115" spans="3:5">
      <c r="C115" s="3"/>
      <c r="D115" s="3"/>
      <c r="E115" s="3"/>
    </row>
  </sheetData>
  <mergeCells count="15">
    <mergeCell ref="A2:J2"/>
    <mergeCell ref="A4:A5"/>
    <mergeCell ref="B4:B5"/>
    <mergeCell ref="C4:C5"/>
    <mergeCell ref="F4:F5"/>
    <mergeCell ref="G4:J4"/>
    <mergeCell ref="E4:E5"/>
    <mergeCell ref="D4:D5"/>
    <mergeCell ref="C84:F84"/>
    <mergeCell ref="H84:J84"/>
    <mergeCell ref="A33:J33"/>
    <mergeCell ref="A7:J7"/>
    <mergeCell ref="A50:J50"/>
    <mergeCell ref="C83:F83"/>
    <mergeCell ref="H83:J83"/>
  </mergeCells>
  <phoneticPr fontId="3" type="noConversion"/>
  <pageMargins left="0.51181102362204722" right="0.19685039370078741" top="0.59055118110236227" bottom="0.59055118110236227" header="0.19685039370078741" footer="0.23622047244094491"/>
  <pageSetup paperSize="9" scale="50" firstPageNumber="6" fitToHeight="0" orientation="portrait" useFirstPageNumber="1" r:id="rId1"/>
  <headerFooter alignWithMargins="0">
    <oddHeader>&amp;R&amp;"Times New Roman,обычный"&amp;14Таблиця 3</oddHeader>
    <oddFooter>&amp;C&amp;P</oddFooter>
  </headerFooter>
  <rowBreaks count="1" manualBreakCount="1">
    <brk id="62" max="9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2:Q205"/>
  <sheetViews>
    <sheetView view="pageBreakPreview" topLeftCell="A19" zoomScale="70" zoomScaleNormal="75" zoomScaleSheetLayoutView="70" zoomScalePageLayoutView="70" workbookViewId="0">
      <selection activeCell="I26" sqref="I26"/>
    </sheetView>
  </sheetViews>
  <sheetFormatPr defaultRowHeight="18.75"/>
  <cols>
    <col min="1" max="1" width="49.85546875" style="65" customWidth="1"/>
    <col min="2" max="2" width="10.42578125" style="12" customWidth="1"/>
    <col min="3" max="3" width="16.140625" style="12" customWidth="1"/>
    <col min="4" max="4" width="17" style="12" customWidth="1"/>
    <col min="5" max="5" width="15" style="12" customWidth="1"/>
    <col min="6" max="6" width="19.42578125" style="65" customWidth="1"/>
    <col min="7" max="7" width="15.28515625" style="65" customWidth="1"/>
    <col min="8" max="8" width="14.7109375" style="65" customWidth="1"/>
    <col min="9" max="9" width="15.42578125" style="65" customWidth="1"/>
    <col min="10" max="10" width="17.28515625" style="65" customWidth="1"/>
    <col min="11" max="11" width="9.5703125" style="65" customWidth="1"/>
    <col min="12" max="12" width="9.85546875" style="65" customWidth="1"/>
    <col min="13" max="16384" width="9.140625" style="65"/>
  </cols>
  <sheetData>
    <row r="2" spans="1:10">
      <c r="A2" s="265" t="s">
        <v>160</v>
      </c>
      <c r="B2" s="265"/>
      <c r="C2" s="265"/>
      <c r="D2" s="265"/>
      <c r="E2" s="265"/>
      <c r="F2" s="265"/>
      <c r="G2" s="265"/>
      <c r="H2" s="265"/>
      <c r="I2" s="265"/>
      <c r="J2" s="265"/>
    </row>
    <row r="3" spans="1:10">
      <c r="A3" s="13"/>
      <c r="B3" s="13"/>
      <c r="C3" s="13"/>
      <c r="D3" s="13"/>
      <c r="E3" s="13"/>
      <c r="F3" s="13"/>
      <c r="G3" s="13"/>
      <c r="H3" s="13"/>
      <c r="I3" s="13"/>
      <c r="J3" s="98" t="s">
        <v>507</v>
      </c>
    </row>
    <row r="4" spans="1:10" ht="41.25" customHeight="1">
      <c r="A4" s="280" t="s">
        <v>182</v>
      </c>
      <c r="B4" s="279" t="s">
        <v>5</v>
      </c>
      <c r="C4" s="271" t="s">
        <v>580</v>
      </c>
      <c r="D4" s="271" t="s">
        <v>598</v>
      </c>
      <c r="E4" s="271" t="s">
        <v>656</v>
      </c>
      <c r="F4" s="271" t="s">
        <v>599</v>
      </c>
      <c r="G4" s="270" t="s">
        <v>256</v>
      </c>
      <c r="H4" s="270"/>
      <c r="I4" s="270"/>
      <c r="J4" s="270"/>
    </row>
    <row r="5" spans="1:10" ht="24" customHeight="1">
      <c r="A5" s="280"/>
      <c r="B5" s="279"/>
      <c r="C5" s="272" t="s">
        <v>396</v>
      </c>
      <c r="D5" s="272"/>
      <c r="E5" s="272" t="s">
        <v>395</v>
      </c>
      <c r="F5" s="272" t="s">
        <v>394</v>
      </c>
      <c r="G5" s="71" t="s">
        <v>140</v>
      </c>
      <c r="H5" s="71" t="s">
        <v>141</v>
      </c>
      <c r="I5" s="71" t="s">
        <v>142</v>
      </c>
      <c r="J5" s="71" t="s">
        <v>54</v>
      </c>
    </row>
    <row r="6" spans="1:10" ht="18" customHeight="1">
      <c r="A6" s="243">
        <v>1</v>
      </c>
      <c r="B6" s="242">
        <v>2</v>
      </c>
      <c r="C6" s="242">
        <v>3</v>
      </c>
      <c r="D6" s="242">
        <v>4</v>
      </c>
      <c r="E6" s="243">
        <v>5</v>
      </c>
      <c r="F6" s="243">
        <v>6</v>
      </c>
      <c r="G6" s="243">
        <v>7</v>
      </c>
      <c r="H6" s="243">
        <v>8</v>
      </c>
      <c r="I6" s="243">
        <v>9</v>
      </c>
      <c r="J6" s="243">
        <v>10</v>
      </c>
    </row>
    <row r="7" spans="1:10" s="107" customFormat="1" ht="42.75" customHeight="1">
      <c r="A7" s="245" t="s">
        <v>62</v>
      </c>
      <c r="B7" s="113">
        <v>4000</v>
      </c>
      <c r="C7" s="99">
        <f t="shared" ref="C7:J7" si="0">C8+C19+C28+C32+C33</f>
        <v>1204.9999999999998</v>
      </c>
      <c r="D7" s="99">
        <f t="shared" si="0"/>
        <v>910</v>
      </c>
      <c r="E7" s="99">
        <f t="shared" si="0"/>
        <v>1600</v>
      </c>
      <c r="F7" s="99">
        <f t="shared" si="0"/>
        <v>3425.1000000000004</v>
      </c>
      <c r="G7" s="99">
        <f t="shared" si="0"/>
        <v>95</v>
      </c>
      <c r="H7" s="99">
        <f t="shared" si="0"/>
        <v>1095</v>
      </c>
      <c r="I7" s="99">
        <f t="shared" si="0"/>
        <v>1301.8</v>
      </c>
      <c r="J7" s="99">
        <f t="shared" si="0"/>
        <v>933.3</v>
      </c>
    </row>
    <row r="8" spans="1:10" ht="20.100000000000001" customHeight="1">
      <c r="A8" s="245" t="s">
        <v>0</v>
      </c>
      <c r="B8" s="114" t="s">
        <v>167</v>
      </c>
      <c r="C8" s="99">
        <f>SUM(C9:C18)</f>
        <v>619.9</v>
      </c>
      <c r="D8" s="99">
        <f>SUM(D9:D18)</f>
        <v>350</v>
      </c>
      <c r="E8" s="99">
        <f>SUM(E9:E18)</f>
        <v>1100</v>
      </c>
      <c r="F8" s="99">
        <f>SUM(G8:J8)</f>
        <v>2748.3</v>
      </c>
      <c r="G8" s="99">
        <f>SUM(G9:G18)</f>
        <v>0</v>
      </c>
      <c r="H8" s="99">
        <f>SUM(H9:H18)</f>
        <v>1000</v>
      </c>
      <c r="I8" s="99">
        <f>SUM(I9:I18)</f>
        <v>1000</v>
      </c>
      <c r="J8" s="99">
        <f>SUM(J9:J18)</f>
        <v>748.3</v>
      </c>
    </row>
    <row r="9" spans="1:10" ht="31.5">
      <c r="A9" s="76" t="s">
        <v>624</v>
      </c>
      <c r="B9" s="110" t="s">
        <v>581</v>
      </c>
      <c r="C9" s="46">
        <v>619.9</v>
      </c>
      <c r="D9" s="46">
        <v>0</v>
      </c>
      <c r="E9" s="46">
        <v>0</v>
      </c>
      <c r="F9" s="99">
        <f t="shared" ref="F9" si="1">SUM(G9:J9)</f>
        <v>0</v>
      </c>
      <c r="G9" s="108">
        <v>0</v>
      </c>
      <c r="H9" s="108">
        <v>0</v>
      </c>
      <c r="I9" s="108">
        <v>0</v>
      </c>
      <c r="J9" s="108">
        <v>0</v>
      </c>
    </row>
    <row r="10" spans="1:10" ht="31.5">
      <c r="A10" s="76" t="s">
        <v>625</v>
      </c>
      <c r="B10" s="110" t="s">
        <v>582</v>
      </c>
      <c r="C10" s="46">
        <v>0</v>
      </c>
      <c r="D10" s="46">
        <v>50</v>
      </c>
      <c r="E10" s="46">
        <v>50</v>
      </c>
      <c r="F10" s="99">
        <v>0</v>
      </c>
      <c r="G10" s="108">
        <v>0</v>
      </c>
      <c r="H10" s="108">
        <v>0</v>
      </c>
      <c r="I10" s="108">
        <v>0</v>
      </c>
      <c r="J10" s="108">
        <v>0</v>
      </c>
    </row>
    <row r="11" spans="1:10" ht="31.5">
      <c r="A11" s="76" t="s">
        <v>626</v>
      </c>
      <c r="B11" s="110" t="s">
        <v>583</v>
      </c>
      <c r="C11" s="46">
        <v>0</v>
      </c>
      <c r="D11" s="46">
        <v>50</v>
      </c>
      <c r="E11" s="46">
        <v>50</v>
      </c>
      <c r="F11" s="99">
        <v>0</v>
      </c>
      <c r="G11" s="108">
        <v>0</v>
      </c>
      <c r="H11" s="108">
        <v>0</v>
      </c>
      <c r="I11" s="108">
        <v>0</v>
      </c>
      <c r="J11" s="108">
        <v>0</v>
      </c>
    </row>
    <row r="12" spans="1:10" ht="31.5">
      <c r="A12" s="76" t="s">
        <v>565</v>
      </c>
      <c r="B12" s="110" t="s">
        <v>584</v>
      </c>
      <c r="C12" s="46">
        <v>0</v>
      </c>
      <c r="D12" s="46">
        <v>50</v>
      </c>
      <c r="E12" s="46">
        <v>50</v>
      </c>
      <c r="F12" s="99">
        <v>0</v>
      </c>
      <c r="G12" s="108">
        <v>0</v>
      </c>
      <c r="H12" s="108">
        <v>0</v>
      </c>
      <c r="I12" s="108">
        <v>0</v>
      </c>
      <c r="J12" s="108">
        <v>0</v>
      </c>
    </row>
    <row r="13" spans="1:10" ht="31.5">
      <c r="A13" s="76" t="s">
        <v>569</v>
      </c>
      <c r="B13" s="110" t="s">
        <v>585</v>
      </c>
      <c r="C13" s="46">
        <v>0</v>
      </c>
      <c r="D13" s="46">
        <v>50</v>
      </c>
      <c r="E13" s="46">
        <v>50</v>
      </c>
      <c r="F13" s="99">
        <v>0</v>
      </c>
      <c r="G13" s="108">
        <v>0</v>
      </c>
      <c r="H13" s="108">
        <v>0</v>
      </c>
      <c r="I13" s="108">
        <v>0</v>
      </c>
      <c r="J13" s="108">
        <v>0</v>
      </c>
    </row>
    <row r="14" spans="1:10" ht="31.5">
      <c r="A14" s="76" t="s">
        <v>570</v>
      </c>
      <c r="B14" s="110" t="s">
        <v>586</v>
      </c>
      <c r="C14" s="46">
        <v>0</v>
      </c>
      <c r="D14" s="46">
        <v>50</v>
      </c>
      <c r="E14" s="46">
        <v>50</v>
      </c>
      <c r="F14" s="99">
        <v>0</v>
      </c>
      <c r="G14" s="108">
        <v>0</v>
      </c>
      <c r="H14" s="108">
        <v>0</v>
      </c>
      <c r="I14" s="108">
        <v>0</v>
      </c>
      <c r="J14" s="108">
        <v>0</v>
      </c>
    </row>
    <row r="15" spans="1:10" ht="31.5">
      <c r="A15" s="76" t="s">
        <v>571</v>
      </c>
      <c r="B15" s="110" t="s">
        <v>587</v>
      </c>
      <c r="C15" s="46">
        <v>0</v>
      </c>
      <c r="D15" s="46">
        <v>50</v>
      </c>
      <c r="E15" s="46">
        <v>50</v>
      </c>
      <c r="F15" s="99">
        <v>0</v>
      </c>
      <c r="G15" s="108">
        <v>0</v>
      </c>
      <c r="H15" s="108">
        <v>0</v>
      </c>
      <c r="I15" s="108">
        <v>0</v>
      </c>
      <c r="J15" s="108">
        <v>0</v>
      </c>
    </row>
    <row r="16" spans="1:10" ht="31.5">
      <c r="A16" s="76" t="s">
        <v>572</v>
      </c>
      <c r="B16" s="110" t="s">
        <v>588</v>
      </c>
      <c r="C16" s="46">
        <v>0</v>
      </c>
      <c r="D16" s="46">
        <v>50</v>
      </c>
      <c r="E16" s="46">
        <v>50</v>
      </c>
      <c r="F16" s="99">
        <v>0</v>
      </c>
      <c r="G16" s="108">
        <v>0</v>
      </c>
      <c r="H16" s="108">
        <v>0</v>
      </c>
      <c r="I16" s="108">
        <v>0</v>
      </c>
      <c r="J16" s="108">
        <v>0</v>
      </c>
    </row>
    <row r="17" spans="1:17" ht="111" customHeight="1">
      <c r="A17" s="76" t="s">
        <v>623</v>
      </c>
      <c r="B17" s="110" t="s">
        <v>621</v>
      </c>
      <c r="C17" s="46">
        <v>0</v>
      </c>
      <c r="D17" s="46">
        <v>0</v>
      </c>
      <c r="E17" s="46">
        <v>750</v>
      </c>
      <c r="F17" s="99">
        <v>0</v>
      </c>
      <c r="G17" s="108">
        <v>0</v>
      </c>
      <c r="H17" s="108">
        <v>0</v>
      </c>
      <c r="I17" s="108">
        <v>0</v>
      </c>
      <c r="J17" s="108">
        <v>0</v>
      </c>
    </row>
    <row r="18" spans="1:17" ht="31.5">
      <c r="A18" s="76" t="s">
        <v>627</v>
      </c>
      <c r="B18" s="110" t="s">
        <v>622</v>
      </c>
      <c r="C18" s="46">
        <v>0</v>
      </c>
      <c r="D18" s="46">
        <v>0</v>
      </c>
      <c r="E18" s="46">
        <v>0</v>
      </c>
      <c r="F18" s="99">
        <v>2748.3</v>
      </c>
      <c r="G18" s="108">
        <v>0</v>
      </c>
      <c r="H18" s="108">
        <f>20*50</f>
        <v>1000</v>
      </c>
      <c r="I18" s="108">
        <f>H18</f>
        <v>1000</v>
      </c>
      <c r="J18" s="108">
        <v>748.3</v>
      </c>
    </row>
    <row r="19" spans="1:17" ht="37.5">
      <c r="A19" s="245" t="s">
        <v>523</v>
      </c>
      <c r="B19" s="113">
        <v>4020</v>
      </c>
      <c r="C19" s="99">
        <f>SUM(C20:C27)</f>
        <v>350.9</v>
      </c>
      <c r="D19" s="99">
        <f>SUM(D20:D27)</f>
        <v>240</v>
      </c>
      <c r="E19" s="99">
        <f>SUM(E20:E27)</f>
        <v>240</v>
      </c>
      <c r="F19" s="99">
        <f>SUM(F20:F27)</f>
        <v>316.8</v>
      </c>
      <c r="G19" s="99">
        <f t="shared" ref="G19:J19" si="2">SUM(G20:G27)</f>
        <v>30</v>
      </c>
      <c r="H19" s="99">
        <f t="shared" si="2"/>
        <v>30</v>
      </c>
      <c r="I19" s="99">
        <f t="shared" si="2"/>
        <v>186.8</v>
      </c>
      <c r="J19" s="99">
        <f t="shared" si="2"/>
        <v>70</v>
      </c>
      <c r="Q19" s="11"/>
    </row>
    <row r="20" spans="1:17">
      <c r="A20" s="76" t="s">
        <v>562</v>
      </c>
      <c r="B20" s="30" t="s">
        <v>519</v>
      </c>
      <c r="C20" s="46">
        <v>0</v>
      </c>
      <c r="D20" s="46">
        <v>15</v>
      </c>
      <c r="E20" s="46">
        <v>15</v>
      </c>
      <c r="F20" s="99">
        <f>SUM(G20:J20)</f>
        <v>6.8</v>
      </c>
      <c r="G20" s="108">
        <v>0</v>
      </c>
      <c r="H20" s="108">
        <v>0</v>
      </c>
      <c r="I20" s="108">
        <v>6.8</v>
      </c>
      <c r="J20" s="108">
        <v>0</v>
      </c>
      <c r="Q20" s="11"/>
    </row>
    <row r="21" spans="1:17">
      <c r="A21" s="76" t="s">
        <v>563</v>
      </c>
      <c r="B21" s="30" t="s">
        <v>529</v>
      </c>
      <c r="C21" s="46">
        <v>0</v>
      </c>
      <c r="D21" s="46">
        <v>80</v>
      </c>
      <c r="E21" s="46">
        <v>80</v>
      </c>
      <c r="F21" s="99">
        <v>0</v>
      </c>
      <c r="G21" s="108">
        <v>0</v>
      </c>
      <c r="H21" s="108">
        <v>0</v>
      </c>
      <c r="I21" s="108">
        <v>0</v>
      </c>
      <c r="J21" s="108">
        <v>0</v>
      </c>
      <c r="Q21" s="11"/>
    </row>
    <row r="22" spans="1:17" ht="31.5">
      <c r="A22" s="76" t="s">
        <v>574</v>
      </c>
      <c r="B22" s="30" t="s">
        <v>564</v>
      </c>
      <c r="C22" s="46">
        <v>0</v>
      </c>
      <c r="D22" s="46">
        <v>10</v>
      </c>
      <c r="E22" s="46">
        <v>10</v>
      </c>
      <c r="F22" s="99">
        <v>0</v>
      </c>
      <c r="G22" s="108">
        <v>0</v>
      </c>
      <c r="H22" s="108">
        <v>0</v>
      </c>
      <c r="I22" s="108">
        <v>0</v>
      </c>
      <c r="J22" s="108">
        <v>0</v>
      </c>
      <c r="Q22" s="11"/>
    </row>
    <row r="23" spans="1:17" ht="31.5">
      <c r="A23" s="76" t="s">
        <v>575</v>
      </c>
      <c r="B23" s="30" t="s">
        <v>566</v>
      </c>
      <c r="C23" s="46">
        <v>0</v>
      </c>
      <c r="D23" s="46">
        <v>7</v>
      </c>
      <c r="E23" s="46">
        <v>7</v>
      </c>
      <c r="F23" s="99">
        <v>0</v>
      </c>
      <c r="G23" s="108">
        <v>0</v>
      </c>
      <c r="H23" s="108">
        <v>0</v>
      </c>
      <c r="I23" s="108">
        <v>0</v>
      </c>
      <c r="J23" s="108">
        <v>0</v>
      </c>
      <c r="Q23" s="11"/>
    </row>
    <row r="24" spans="1:17">
      <c r="A24" s="76" t="s">
        <v>576</v>
      </c>
      <c r="B24" s="30" t="s">
        <v>567</v>
      </c>
      <c r="C24" s="46">
        <v>0</v>
      </c>
      <c r="D24" s="46">
        <v>7</v>
      </c>
      <c r="E24" s="46">
        <v>7</v>
      </c>
      <c r="F24" s="99">
        <v>0</v>
      </c>
      <c r="G24" s="108">
        <v>0</v>
      </c>
      <c r="H24" s="108">
        <v>0</v>
      </c>
      <c r="I24" s="108">
        <v>0</v>
      </c>
      <c r="J24" s="108">
        <v>0</v>
      </c>
      <c r="Q24" s="11"/>
    </row>
    <row r="25" spans="1:17">
      <c r="A25" s="76" t="s">
        <v>577</v>
      </c>
      <c r="B25" s="30" t="s">
        <v>568</v>
      </c>
      <c r="C25" s="46">
        <v>0</v>
      </c>
      <c r="D25" s="46">
        <v>81</v>
      </c>
      <c r="E25" s="46">
        <v>81</v>
      </c>
      <c r="F25" s="99">
        <v>80</v>
      </c>
      <c r="G25" s="108">
        <v>0</v>
      </c>
      <c r="H25" s="108">
        <v>0</v>
      </c>
      <c r="I25" s="108">
        <v>40</v>
      </c>
      <c r="J25" s="108">
        <v>40</v>
      </c>
      <c r="Q25" s="11"/>
    </row>
    <row r="26" spans="1:17">
      <c r="A26" s="76" t="s">
        <v>628</v>
      </c>
      <c r="B26" s="30" t="s">
        <v>573</v>
      </c>
      <c r="C26" s="46">
        <v>0</v>
      </c>
      <c r="D26" s="46">
        <v>0</v>
      </c>
      <c r="E26" s="46">
        <v>0</v>
      </c>
      <c r="F26" s="99">
        <v>110</v>
      </c>
      <c r="G26" s="108">
        <v>0</v>
      </c>
      <c r="H26" s="108">
        <v>0</v>
      </c>
      <c r="I26" s="108">
        <v>110</v>
      </c>
      <c r="J26" s="108">
        <v>0</v>
      </c>
      <c r="Q26" s="11"/>
    </row>
    <row r="27" spans="1:17">
      <c r="A27" s="76" t="s">
        <v>589</v>
      </c>
      <c r="B27" s="30" t="s">
        <v>655</v>
      </c>
      <c r="C27" s="108">
        <v>350.9</v>
      </c>
      <c r="D27" s="46">
        <v>40</v>
      </c>
      <c r="E27" s="46">
        <v>40</v>
      </c>
      <c r="F27" s="99">
        <f>SUM(G27:J27)</f>
        <v>120</v>
      </c>
      <c r="G27" s="108">
        <v>30</v>
      </c>
      <c r="H27" s="108">
        <v>30</v>
      </c>
      <c r="I27" s="108">
        <v>30</v>
      </c>
      <c r="J27" s="108">
        <v>30</v>
      </c>
      <c r="Q27" s="11"/>
    </row>
    <row r="28" spans="1:17" ht="56.25">
      <c r="A28" s="245" t="s">
        <v>527</v>
      </c>
      <c r="B28" s="114">
        <v>4030</v>
      </c>
      <c r="C28" s="99">
        <f>SUM(C29:C31)</f>
        <v>107.6</v>
      </c>
      <c r="D28" s="99">
        <v>320</v>
      </c>
      <c r="E28" s="99">
        <f t="shared" ref="E28:J28" si="3">SUM(E29:E31)</f>
        <v>140</v>
      </c>
      <c r="F28" s="99">
        <f t="shared" si="3"/>
        <v>260</v>
      </c>
      <c r="G28" s="99">
        <f t="shared" si="3"/>
        <v>65</v>
      </c>
      <c r="H28" s="99">
        <f t="shared" si="3"/>
        <v>65</v>
      </c>
      <c r="I28" s="99">
        <f t="shared" si="3"/>
        <v>65</v>
      </c>
      <c r="J28" s="99">
        <f t="shared" si="3"/>
        <v>65</v>
      </c>
      <c r="P28" s="11"/>
    </row>
    <row r="29" spans="1:17">
      <c r="A29" s="77" t="s">
        <v>528</v>
      </c>
      <c r="B29" s="30" t="s">
        <v>578</v>
      </c>
      <c r="C29" s="46">
        <v>68.8</v>
      </c>
      <c r="D29" s="46">
        <v>160</v>
      </c>
      <c r="E29" s="46">
        <v>140</v>
      </c>
      <c r="F29" s="108">
        <f>SUM(G29:J29)</f>
        <v>160</v>
      </c>
      <c r="G29" s="108">
        <v>40</v>
      </c>
      <c r="H29" s="108">
        <v>40</v>
      </c>
      <c r="I29" s="108">
        <v>40</v>
      </c>
      <c r="J29" s="108">
        <v>40</v>
      </c>
      <c r="P29" s="11"/>
    </row>
    <row r="30" spans="1:17">
      <c r="A30" s="73" t="s">
        <v>552</v>
      </c>
      <c r="B30" s="30" t="s">
        <v>579</v>
      </c>
      <c r="C30" s="46">
        <v>25.2</v>
      </c>
      <c r="D30" s="46">
        <v>0</v>
      </c>
      <c r="E30" s="46">
        <v>0</v>
      </c>
      <c r="F30" s="74">
        <v>0</v>
      </c>
      <c r="G30" s="108">
        <v>0</v>
      </c>
      <c r="H30" s="108">
        <v>0</v>
      </c>
      <c r="I30" s="108">
        <v>0</v>
      </c>
      <c r="J30" s="108">
        <v>0</v>
      </c>
      <c r="P30" s="11"/>
    </row>
    <row r="31" spans="1:17">
      <c r="A31" s="111" t="s">
        <v>589</v>
      </c>
      <c r="B31" s="30" t="s">
        <v>629</v>
      </c>
      <c r="C31" s="108">
        <v>13.6</v>
      </c>
      <c r="D31" s="46">
        <v>0</v>
      </c>
      <c r="E31" s="46">
        <v>0</v>
      </c>
      <c r="F31" s="112">
        <v>100</v>
      </c>
      <c r="G31" s="108">
        <v>25</v>
      </c>
      <c r="H31" s="108">
        <v>25</v>
      </c>
      <c r="I31" s="108">
        <v>25</v>
      </c>
      <c r="J31" s="108">
        <v>25</v>
      </c>
      <c r="P31" s="11"/>
    </row>
    <row r="32" spans="1:17" ht="21.75" customHeight="1">
      <c r="A32" s="245" t="s">
        <v>1</v>
      </c>
      <c r="B32" s="113">
        <v>4040</v>
      </c>
      <c r="C32" s="99">
        <v>78</v>
      </c>
      <c r="D32" s="99">
        <v>0</v>
      </c>
      <c r="E32" s="99">
        <v>0</v>
      </c>
      <c r="F32" s="255">
        <f t="shared" ref="F32" si="4">G32+H32+I32+J32</f>
        <v>0</v>
      </c>
      <c r="G32" s="255">
        <f>H32+I32+J32+K32</f>
        <v>0</v>
      </c>
      <c r="H32" s="255">
        <f>I32+J32+K32+L32</f>
        <v>0</v>
      </c>
      <c r="I32" s="255">
        <f>J32+K32+L32+M32</f>
        <v>0</v>
      </c>
      <c r="J32" s="255">
        <f>K32+L32+M32+N32</f>
        <v>0</v>
      </c>
    </row>
    <row r="33" spans="1:11" ht="42" customHeight="1">
      <c r="A33" s="245" t="s">
        <v>526</v>
      </c>
      <c r="B33" s="114">
        <v>4050</v>
      </c>
      <c r="C33" s="99">
        <f>SUM(C34:C35)</f>
        <v>48.6</v>
      </c>
      <c r="D33" s="99">
        <f t="shared" ref="D33:J33" si="5">SUM(D34:D35)</f>
        <v>0</v>
      </c>
      <c r="E33" s="99">
        <f t="shared" si="5"/>
        <v>120</v>
      </c>
      <c r="F33" s="99">
        <f t="shared" si="5"/>
        <v>100</v>
      </c>
      <c r="G33" s="99">
        <f t="shared" si="5"/>
        <v>0</v>
      </c>
      <c r="H33" s="99">
        <f t="shared" si="5"/>
        <v>0</v>
      </c>
      <c r="I33" s="99">
        <f t="shared" si="5"/>
        <v>50</v>
      </c>
      <c r="J33" s="99">
        <f t="shared" si="5"/>
        <v>50</v>
      </c>
    </row>
    <row r="34" spans="1:11" ht="51.75" customHeight="1">
      <c r="A34" s="73" t="s">
        <v>524</v>
      </c>
      <c r="B34" s="30" t="s">
        <v>630</v>
      </c>
      <c r="C34" s="46">
        <v>48.6</v>
      </c>
      <c r="D34" s="46">
        <v>0</v>
      </c>
      <c r="E34" s="46">
        <v>0</v>
      </c>
      <c r="F34" s="75">
        <v>0</v>
      </c>
      <c r="G34" s="108">
        <v>0</v>
      </c>
      <c r="H34" s="108">
        <v>0</v>
      </c>
      <c r="I34" s="108">
        <v>0</v>
      </c>
      <c r="J34" s="108">
        <v>0</v>
      </c>
    </row>
    <row r="35" spans="1:11">
      <c r="A35" s="73" t="s">
        <v>589</v>
      </c>
      <c r="B35" s="30" t="s">
        <v>525</v>
      </c>
      <c r="C35" s="46">
        <v>0</v>
      </c>
      <c r="D35" s="46">
        <v>0</v>
      </c>
      <c r="E35" s="46">
        <v>120</v>
      </c>
      <c r="F35" s="75">
        <v>100</v>
      </c>
      <c r="G35" s="108">
        <v>0</v>
      </c>
      <c r="H35" s="108">
        <v>0</v>
      </c>
      <c r="I35" s="108">
        <v>50</v>
      </c>
      <c r="J35" s="108">
        <v>50</v>
      </c>
    </row>
    <row r="36" spans="1:11" ht="20.100000000000001" customHeight="1">
      <c r="A36" s="288"/>
      <c r="B36" s="288"/>
      <c r="C36" s="288"/>
      <c r="D36" s="288"/>
      <c r="E36" s="288"/>
      <c r="F36" s="288"/>
      <c r="G36" s="288"/>
      <c r="H36" s="288"/>
      <c r="I36" s="288"/>
      <c r="J36" s="288"/>
    </row>
    <row r="37" spans="1:11" s="2" customFormat="1" ht="20.100000000000001" customHeight="1">
      <c r="A37" s="288"/>
      <c r="B37" s="288"/>
      <c r="C37" s="288"/>
      <c r="D37" s="288"/>
      <c r="E37" s="288"/>
      <c r="F37" s="288"/>
      <c r="G37" s="288"/>
      <c r="H37" s="288"/>
      <c r="I37" s="288"/>
      <c r="J37" s="288"/>
      <c r="K37" s="65"/>
    </row>
    <row r="38" spans="1:11" s="107" customFormat="1" ht="19.5" customHeight="1">
      <c r="A38" s="54" t="s">
        <v>508</v>
      </c>
      <c r="B38" s="16"/>
      <c r="C38" s="284" t="s">
        <v>81</v>
      </c>
      <c r="D38" s="284"/>
      <c r="E38" s="284"/>
      <c r="F38" s="285"/>
      <c r="G38" s="68"/>
      <c r="H38" s="275" t="s">
        <v>520</v>
      </c>
      <c r="I38" s="275"/>
      <c r="J38" s="275"/>
    </row>
    <row r="39" spans="1:11" s="2" customFormat="1" ht="15.75" customHeight="1">
      <c r="A39" s="55" t="s">
        <v>59</v>
      </c>
      <c r="B39" s="52"/>
      <c r="C39" s="268" t="s">
        <v>60</v>
      </c>
      <c r="D39" s="268"/>
      <c r="E39" s="268"/>
      <c r="F39" s="268"/>
      <c r="G39" s="53"/>
      <c r="H39" s="268" t="s">
        <v>78</v>
      </c>
      <c r="I39" s="268"/>
      <c r="J39" s="268"/>
    </row>
    <row r="40" spans="1:11">
      <c r="A40" s="20"/>
    </row>
    <row r="41" spans="1:11">
      <c r="A41" s="20"/>
    </row>
    <row r="42" spans="1:11">
      <c r="A42" s="20"/>
    </row>
    <row r="43" spans="1:11">
      <c r="A43" s="20"/>
    </row>
    <row r="44" spans="1:11">
      <c r="A44" s="20"/>
    </row>
    <row r="45" spans="1:11">
      <c r="A45" s="20"/>
    </row>
    <row r="46" spans="1:11">
      <c r="A46" s="20"/>
    </row>
    <row r="47" spans="1:11">
      <c r="A47" s="20"/>
    </row>
    <row r="48" spans="1:11">
      <c r="A48" s="20"/>
    </row>
    <row r="49" spans="1:1">
      <c r="A49" s="20"/>
    </row>
    <row r="50" spans="1:1">
      <c r="A50" s="20"/>
    </row>
    <row r="51" spans="1:1">
      <c r="A51" s="20"/>
    </row>
    <row r="52" spans="1:1">
      <c r="A52" s="20"/>
    </row>
    <row r="53" spans="1:1">
      <c r="A53" s="20"/>
    </row>
    <row r="54" spans="1:1">
      <c r="A54" s="20"/>
    </row>
    <row r="55" spans="1:1">
      <c r="A55" s="20"/>
    </row>
    <row r="56" spans="1:1">
      <c r="A56" s="20"/>
    </row>
    <row r="57" spans="1:1">
      <c r="A57" s="20"/>
    </row>
    <row r="58" spans="1:1">
      <c r="A58" s="20"/>
    </row>
    <row r="59" spans="1:1">
      <c r="A59" s="20"/>
    </row>
    <row r="60" spans="1:1">
      <c r="A60" s="20"/>
    </row>
    <row r="61" spans="1:1">
      <c r="A61" s="20"/>
    </row>
    <row r="62" spans="1:1">
      <c r="A62" s="20"/>
    </row>
    <row r="63" spans="1:1">
      <c r="A63" s="20"/>
    </row>
    <row r="64" spans="1:1">
      <c r="A64" s="20"/>
    </row>
    <row r="65" spans="1:1">
      <c r="A65" s="20"/>
    </row>
    <row r="66" spans="1:1">
      <c r="A66" s="20"/>
    </row>
    <row r="67" spans="1:1">
      <c r="A67" s="20"/>
    </row>
    <row r="68" spans="1:1">
      <c r="A68" s="20"/>
    </row>
    <row r="69" spans="1:1">
      <c r="A69" s="20"/>
    </row>
    <row r="70" spans="1:1">
      <c r="A70" s="20"/>
    </row>
    <row r="71" spans="1:1">
      <c r="A71" s="20"/>
    </row>
    <row r="72" spans="1:1">
      <c r="A72" s="20"/>
    </row>
    <row r="73" spans="1:1">
      <c r="A73" s="20"/>
    </row>
    <row r="74" spans="1:1">
      <c r="A74" s="20"/>
    </row>
    <row r="75" spans="1:1">
      <c r="A75" s="20"/>
    </row>
    <row r="76" spans="1:1">
      <c r="A76" s="20"/>
    </row>
    <row r="77" spans="1:1">
      <c r="A77" s="20"/>
    </row>
    <row r="78" spans="1:1">
      <c r="A78" s="20"/>
    </row>
    <row r="79" spans="1:1">
      <c r="A79" s="20"/>
    </row>
    <row r="80" spans="1:1">
      <c r="A80" s="20"/>
    </row>
    <row r="81" spans="1:1">
      <c r="A81" s="20"/>
    </row>
    <row r="82" spans="1:1">
      <c r="A82" s="20"/>
    </row>
    <row r="83" spans="1:1">
      <c r="A83" s="20"/>
    </row>
    <row r="84" spans="1:1">
      <c r="A84" s="20"/>
    </row>
    <row r="85" spans="1:1">
      <c r="A85" s="20"/>
    </row>
    <row r="86" spans="1:1">
      <c r="A86" s="20"/>
    </row>
    <row r="87" spans="1:1">
      <c r="A87" s="20"/>
    </row>
    <row r="88" spans="1:1">
      <c r="A88" s="20"/>
    </row>
    <row r="89" spans="1:1">
      <c r="A89" s="20"/>
    </row>
    <row r="90" spans="1:1">
      <c r="A90" s="20"/>
    </row>
    <row r="91" spans="1:1">
      <c r="A91" s="20"/>
    </row>
    <row r="92" spans="1:1">
      <c r="A92" s="20"/>
    </row>
    <row r="93" spans="1:1">
      <c r="A93" s="20"/>
    </row>
    <row r="94" spans="1:1">
      <c r="A94" s="20"/>
    </row>
    <row r="95" spans="1:1">
      <c r="A95" s="20"/>
    </row>
    <row r="96" spans="1:1">
      <c r="A96" s="20"/>
    </row>
    <row r="97" spans="1:1">
      <c r="A97" s="20"/>
    </row>
    <row r="98" spans="1:1">
      <c r="A98" s="20"/>
    </row>
    <row r="99" spans="1:1">
      <c r="A99" s="20"/>
    </row>
    <row r="100" spans="1:1">
      <c r="A100" s="20"/>
    </row>
    <row r="101" spans="1:1">
      <c r="A101" s="20"/>
    </row>
    <row r="102" spans="1:1">
      <c r="A102" s="20"/>
    </row>
    <row r="103" spans="1:1">
      <c r="A103" s="20"/>
    </row>
    <row r="104" spans="1:1">
      <c r="A104" s="20"/>
    </row>
    <row r="105" spans="1:1">
      <c r="A105" s="20"/>
    </row>
    <row r="106" spans="1:1">
      <c r="A106" s="20"/>
    </row>
    <row r="107" spans="1:1">
      <c r="A107" s="20"/>
    </row>
    <row r="108" spans="1:1">
      <c r="A108" s="20"/>
    </row>
    <row r="109" spans="1:1">
      <c r="A109" s="20"/>
    </row>
    <row r="110" spans="1:1">
      <c r="A110" s="20"/>
    </row>
    <row r="111" spans="1:1">
      <c r="A111" s="20"/>
    </row>
    <row r="112" spans="1:1">
      <c r="A112" s="20"/>
    </row>
    <row r="113" spans="1:1">
      <c r="A113" s="20"/>
    </row>
    <row r="114" spans="1:1">
      <c r="A114" s="20"/>
    </row>
    <row r="115" spans="1:1">
      <c r="A115" s="20"/>
    </row>
    <row r="116" spans="1:1">
      <c r="A116" s="20"/>
    </row>
    <row r="117" spans="1:1">
      <c r="A117" s="20"/>
    </row>
    <row r="118" spans="1:1">
      <c r="A118" s="20"/>
    </row>
    <row r="119" spans="1:1">
      <c r="A119" s="20"/>
    </row>
    <row r="120" spans="1:1">
      <c r="A120" s="20"/>
    </row>
    <row r="121" spans="1:1">
      <c r="A121" s="20"/>
    </row>
    <row r="122" spans="1:1">
      <c r="A122" s="20"/>
    </row>
    <row r="123" spans="1:1">
      <c r="A123" s="20"/>
    </row>
    <row r="124" spans="1:1">
      <c r="A124" s="20"/>
    </row>
    <row r="125" spans="1:1">
      <c r="A125" s="20"/>
    </row>
    <row r="126" spans="1:1">
      <c r="A126" s="20"/>
    </row>
    <row r="127" spans="1:1">
      <c r="A127" s="20"/>
    </row>
    <row r="128" spans="1:1">
      <c r="A128" s="20"/>
    </row>
    <row r="129" spans="1:1">
      <c r="A129" s="20"/>
    </row>
    <row r="130" spans="1:1">
      <c r="A130" s="20"/>
    </row>
    <row r="131" spans="1:1">
      <c r="A131" s="20"/>
    </row>
    <row r="132" spans="1:1">
      <c r="A132" s="20"/>
    </row>
    <row r="133" spans="1:1">
      <c r="A133" s="20"/>
    </row>
    <row r="134" spans="1:1">
      <c r="A134" s="20"/>
    </row>
    <row r="135" spans="1:1">
      <c r="A135" s="20"/>
    </row>
    <row r="136" spans="1:1">
      <c r="A136" s="20"/>
    </row>
    <row r="137" spans="1:1">
      <c r="A137" s="20"/>
    </row>
    <row r="138" spans="1:1">
      <c r="A138" s="20"/>
    </row>
    <row r="139" spans="1:1">
      <c r="A139" s="20"/>
    </row>
    <row r="140" spans="1:1">
      <c r="A140" s="20"/>
    </row>
    <row r="141" spans="1:1">
      <c r="A141" s="20"/>
    </row>
    <row r="142" spans="1:1">
      <c r="A142" s="20"/>
    </row>
    <row r="143" spans="1:1">
      <c r="A143" s="20"/>
    </row>
    <row r="144" spans="1:1">
      <c r="A144" s="20"/>
    </row>
    <row r="145" spans="1:1">
      <c r="A145" s="20"/>
    </row>
    <row r="146" spans="1:1">
      <c r="A146" s="20"/>
    </row>
    <row r="147" spans="1:1">
      <c r="A147" s="20"/>
    </row>
    <row r="148" spans="1:1">
      <c r="A148" s="20"/>
    </row>
    <row r="149" spans="1:1">
      <c r="A149" s="20"/>
    </row>
    <row r="150" spans="1:1">
      <c r="A150" s="20"/>
    </row>
    <row r="151" spans="1:1">
      <c r="A151" s="20"/>
    </row>
    <row r="152" spans="1:1">
      <c r="A152" s="20"/>
    </row>
    <row r="153" spans="1:1">
      <c r="A153" s="20"/>
    </row>
    <row r="154" spans="1:1">
      <c r="A154" s="20"/>
    </row>
    <row r="155" spans="1:1">
      <c r="A155" s="20"/>
    </row>
    <row r="156" spans="1:1">
      <c r="A156" s="20"/>
    </row>
    <row r="157" spans="1:1">
      <c r="A157" s="20"/>
    </row>
    <row r="158" spans="1:1">
      <c r="A158" s="20"/>
    </row>
    <row r="159" spans="1:1">
      <c r="A159" s="20"/>
    </row>
    <row r="160" spans="1:1">
      <c r="A160" s="20"/>
    </row>
    <row r="161" spans="1:1">
      <c r="A161" s="20"/>
    </row>
    <row r="162" spans="1:1">
      <c r="A162" s="20"/>
    </row>
    <row r="163" spans="1:1">
      <c r="A163" s="20"/>
    </row>
    <row r="164" spans="1:1">
      <c r="A164" s="20"/>
    </row>
    <row r="165" spans="1:1">
      <c r="A165" s="20"/>
    </row>
    <row r="166" spans="1:1">
      <c r="A166" s="20"/>
    </row>
    <row r="167" spans="1:1">
      <c r="A167" s="20"/>
    </row>
    <row r="168" spans="1:1">
      <c r="A168" s="20"/>
    </row>
    <row r="169" spans="1:1">
      <c r="A169" s="20"/>
    </row>
    <row r="170" spans="1:1">
      <c r="A170" s="20"/>
    </row>
    <row r="171" spans="1:1">
      <c r="A171" s="20"/>
    </row>
    <row r="172" spans="1:1">
      <c r="A172" s="20"/>
    </row>
    <row r="173" spans="1:1">
      <c r="A173" s="20"/>
    </row>
    <row r="174" spans="1:1">
      <c r="A174" s="20"/>
    </row>
    <row r="175" spans="1:1">
      <c r="A175" s="20"/>
    </row>
    <row r="176" spans="1:1">
      <c r="A176" s="20"/>
    </row>
    <row r="177" spans="1:1">
      <c r="A177" s="20"/>
    </row>
    <row r="178" spans="1:1">
      <c r="A178" s="20"/>
    </row>
    <row r="179" spans="1:1">
      <c r="A179" s="20"/>
    </row>
    <row r="180" spans="1:1">
      <c r="A180" s="20"/>
    </row>
    <row r="181" spans="1:1">
      <c r="A181" s="20"/>
    </row>
    <row r="182" spans="1:1">
      <c r="A182" s="20"/>
    </row>
    <row r="183" spans="1:1">
      <c r="A183" s="20"/>
    </row>
    <row r="184" spans="1:1">
      <c r="A184" s="20"/>
    </row>
    <row r="185" spans="1:1">
      <c r="A185" s="20"/>
    </row>
    <row r="186" spans="1:1">
      <c r="A186" s="20"/>
    </row>
    <row r="187" spans="1:1">
      <c r="A187" s="20"/>
    </row>
    <row r="188" spans="1:1">
      <c r="A188" s="20"/>
    </row>
    <row r="189" spans="1:1">
      <c r="A189" s="20"/>
    </row>
    <row r="190" spans="1:1">
      <c r="A190" s="20"/>
    </row>
    <row r="191" spans="1:1">
      <c r="A191" s="20"/>
    </row>
    <row r="192" spans="1:1">
      <c r="A192" s="20"/>
    </row>
    <row r="193" spans="1:1">
      <c r="A193" s="20"/>
    </row>
    <row r="194" spans="1:1">
      <c r="A194" s="20"/>
    </row>
    <row r="195" spans="1:1">
      <c r="A195" s="20"/>
    </row>
    <row r="196" spans="1:1">
      <c r="A196" s="20"/>
    </row>
    <row r="197" spans="1:1">
      <c r="A197" s="20"/>
    </row>
    <row r="198" spans="1:1">
      <c r="A198" s="20"/>
    </row>
    <row r="199" spans="1:1">
      <c r="A199" s="20"/>
    </row>
    <row r="200" spans="1:1">
      <c r="A200" s="20"/>
    </row>
    <row r="201" spans="1:1">
      <c r="A201" s="20"/>
    </row>
    <row r="202" spans="1:1">
      <c r="A202" s="20"/>
    </row>
    <row r="203" spans="1:1">
      <c r="A203" s="20"/>
    </row>
    <row r="204" spans="1:1">
      <c r="A204" s="20"/>
    </row>
    <row r="205" spans="1:1">
      <c r="A205" s="20"/>
    </row>
  </sheetData>
  <mergeCells count="14">
    <mergeCell ref="A2:J2"/>
    <mergeCell ref="B4:B5"/>
    <mergeCell ref="C4:C5"/>
    <mergeCell ref="F4:F5"/>
    <mergeCell ref="E4:E5"/>
    <mergeCell ref="G4:J4"/>
    <mergeCell ref="C38:F38"/>
    <mergeCell ref="H38:J38"/>
    <mergeCell ref="C39:F39"/>
    <mergeCell ref="H39:J39"/>
    <mergeCell ref="A4:A5"/>
    <mergeCell ref="D4:D5"/>
    <mergeCell ref="A36:J36"/>
    <mergeCell ref="A37:J37"/>
  </mergeCells>
  <phoneticPr fontId="0" type="noConversion"/>
  <pageMargins left="0.51181102362204722" right="0.19685039370078741" top="0.78740157480314965" bottom="0.78740157480314965" header="0.27559055118110237" footer="0.31496062992125984"/>
  <pageSetup paperSize="9" scale="42" firstPageNumber="8" fitToHeight="0" orientation="portrait" useFirstPageNumber="1" r:id="rId1"/>
  <headerFooter alignWithMargins="0">
    <oddHeader>&amp;R&amp;"Times New Roman,обычный"&amp;14Таблиця 4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FFCCFF"/>
  </sheetPr>
  <dimension ref="A1:AG119"/>
  <sheetViews>
    <sheetView tabSelected="1" view="pageBreakPreview" topLeftCell="A86" zoomScale="55" zoomScaleNormal="75" zoomScaleSheetLayoutView="55" zoomScalePageLayoutView="70" workbookViewId="0">
      <selection activeCell="N101" sqref="N101"/>
    </sheetView>
  </sheetViews>
  <sheetFormatPr defaultRowHeight="15.75"/>
  <cols>
    <col min="1" max="1" width="62.42578125" style="10" customWidth="1"/>
    <col min="2" max="3" width="16.5703125" style="139" customWidth="1"/>
    <col min="4" max="4" width="17.28515625" style="139" customWidth="1"/>
    <col min="5" max="5" width="21.140625" style="10" customWidth="1"/>
    <col min="6" max="6" width="21.85546875" style="10" customWidth="1"/>
    <col min="7" max="7" width="20.42578125" style="10" customWidth="1"/>
    <col min="8" max="8" width="21.85546875" style="10" customWidth="1"/>
    <col min="9" max="9" width="19.42578125" style="10" customWidth="1"/>
    <col min="10" max="10" width="17.42578125" style="10" customWidth="1"/>
    <col min="11" max="11" width="16.5703125" style="10" customWidth="1"/>
    <col min="12" max="12" width="16.85546875" style="10" customWidth="1"/>
    <col min="13" max="15" width="16.7109375" style="10" customWidth="1"/>
    <col min="16" max="16" width="12.5703125" style="10" customWidth="1"/>
    <col min="17" max="17" width="11" style="10" customWidth="1"/>
    <col min="18" max="18" width="10.28515625" style="10" customWidth="1"/>
    <col min="19" max="19" width="10.85546875" style="10" customWidth="1"/>
    <col min="20" max="20" width="16.5703125" style="10" customWidth="1"/>
    <col min="21" max="21" width="9.140625" style="10"/>
    <col min="22" max="22" width="11" style="10" bestFit="1" customWidth="1"/>
    <col min="23" max="24" width="9.140625" style="10"/>
    <col min="25" max="25" width="16.85546875" style="10" customWidth="1"/>
    <col min="26" max="16384" width="9.140625" style="10"/>
  </cols>
  <sheetData>
    <row r="1" spans="1:17">
      <c r="A1" s="324" t="s">
        <v>95</v>
      </c>
      <c r="B1" s="324"/>
      <c r="C1" s="324"/>
      <c r="D1" s="324"/>
      <c r="E1" s="324"/>
      <c r="F1" s="324"/>
      <c r="G1" s="324"/>
      <c r="H1" s="324"/>
      <c r="I1" s="324"/>
      <c r="J1" s="121"/>
      <c r="K1" s="121"/>
      <c r="L1" s="121"/>
      <c r="M1" s="121"/>
      <c r="N1" s="121"/>
      <c r="O1" s="121"/>
    </row>
    <row r="2" spans="1:17">
      <c r="A2" s="324" t="s">
        <v>631</v>
      </c>
      <c r="B2" s="324"/>
      <c r="C2" s="324"/>
      <c r="D2" s="324"/>
      <c r="E2" s="324"/>
      <c r="F2" s="324"/>
      <c r="G2" s="324"/>
      <c r="H2" s="324"/>
      <c r="I2" s="324"/>
      <c r="J2" s="121"/>
      <c r="K2" s="121"/>
      <c r="L2" s="121"/>
      <c r="M2" s="121"/>
      <c r="N2" s="121"/>
      <c r="O2" s="121"/>
    </row>
    <row r="3" spans="1:17">
      <c r="A3" s="306" t="s">
        <v>260</v>
      </c>
      <c r="B3" s="306"/>
      <c r="C3" s="306"/>
      <c r="D3" s="306"/>
      <c r="E3" s="306"/>
      <c r="F3" s="306"/>
      <c r="G3" s="306"/>
      <c r="H3" s="306"/>
      <c r="I3" s="306"/>
      <c r="J3" s="109"/>
      <c r="K3" s="109"/>
      <c r="L3" s="109"/>
      <c r="M3" s="109"/>
      <c r="N3" s="109"/>
      <c r="O3" s="109"/>
    </row>
    <row r="4" spans="1:17">
      <c r="A4" s="289" t="s">
        <v>99</v>
      </c>
      <c r="B4" s="289"/>
      <c r="C4" s="289"/>
      <c r="D4" s="289"/>
      <c r="E4" s="289"/>
      <c r="F4" s="289"/>
      <c r="G4" s="289"/>
      <c r="H4" s="289"/>
      <c r="I4" s="289"/>
      <c r="J4" s="109"/>
      <c r="K4" s="109"/>
      <c r="L4" s="109"/>
      <c r="M4" s="109"/>
      <c r="N4" s="109"/>
      <c r="O4" s="109"/>
    </row>
    <row r="5" spans="1:17" ht="21.95" customHeight="1">
      <c r="A5" s="122" t="s">
        <v>597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</row>
    <row r="6" spans="1:17" ht="18.75" customHeight="1">
      <c r="A6" s="123" t="s">
        <v>596</v>
      </c>
      <c r="B6" s="124"/>
      <c r="C6" s="10"/>
      <c r="D6" s="10"/>
    </row>
    <row r="7" spans="1:17" s="105" customFormat="1" ht="81" customHeight="1">
      <c r="A7" s="247" t="s">
        <v>182</v>
      </c>
      <c r="B7" s="246" t="s">
        <v>580</v>
      </c>
      <c r="C7" s="246" t="s">
        <v>598</v>
      </c>
      <c r="D7" s="239" t="s">
        <v>656</v>
      </c>
      <c r="E7" s="246" t="s">
        <v>599</v>
      </c>
      <c r="F7" s="322" t="s">
        <v>257</v>
      </c>
      <c r="G7" s="322"/>
      <c r="H7" s="322" t="s">
        <v>258</v>
      </c>
      <c r="I7" s="322"/>
      <c r="J7" s="125"/>
      <c r="K7" s="39"/>
      <c r="L7" s="39"/>
      <c r="M7" s="39"/>
      <c r="N7" s="109"/>
      <c r="O7" s="109"/>
    </row>
    <row r="8" spans="1:17" s="105" customFormat="1" ht="18" customHeight="1">
      <c r="A8" s="249">
        <v>1</v>
      </c>
      <c r="B8" s="248">
        <v>2</v>
      </c>
      <c r="C8" s="248">
        <v>3</v>
      </c>
      <c r="D8" s="240">
        <v>4</v>
      </c>
      <c r="E8" s="248">
        <v>5</v>
      </c>
      <c r="F8" s="327">
        <v>6</v>
      </c>
      <c r="G8" s="328"/>
      <c r="H8" s="327">
        <v>7</v>
      </c>
      <c r="I8" s="328"/>
      <c r="M8" s="39"/>
      <c r="N8" s="109"/>
      <c r="O8" s="125"/>
      <c r="P8" s="39"/>
      <c r="Q8" s="39" t="s">
        <v>553</v>
      </c>
    </row>
    <row r="9" spans="1:17" s="105" customFormat="1" ht="20.100000000000001" customHeight="1">
      <c r="A9" s="126" t="s">
        <v>100</v>
      </c>
      <c r="B9" s="150">
        <f>SUM(B10:B15)</f>
        <v>55</v>
      </c>
      <c r="C9" s="127">
        <f>SUM(C10:C15)</f>
        <v>55</v>
      </c>
      <c r="D9" s="127">
        <f t="shared" ref="D9:E9" si="0">SUM(D10:D15)</f>
        <v>60</v>
      </c>
      <c r="E9" s="127">
        <f t="shared" si="0"/>
        <v>60</v>
      </c>
      <c r="F9" s="323">
        <f>E9/D9*100%</f>
        <v>1</v>
      </c>
      <c r="G9" s="323"/>
      <c r="H9" s="316"/>
      <c r="I9" s="296"/>
      <c r="M9" s="129"/>
      <c r="N9" s="130"/>
      <c r="O9" s="128"/>
      <c r="P9" s="40"/>
      <c r="Q9" s="129" t="s">
        <v>554</v>
      </c>
    </row>
    <row r="10" spans="1:17" s="105" customFormat="1" ht="20.100000000000001" customHeight="1">
      <c r="A10" s="36" t="s">
        <v>198</v>
      </c>
      <c r="B10" s="33">
        <v>6</v>
      </c>
      <c r="C10" s="33">
        <v>6</v>
      </c>
      <c r="D10" s="33">
        <v>6</v>
      </c>
      <c r="E10" s="33">
        <v>6</v>
      </c>
      <c r="F10" s="308">
        <f>E10/D10*100</f>
        <v>100</v>
      </c>
      <c r="G10" s="308"/>
      <c r="H10" s="329" t="s">
        <v>658</v>
      </c>
      <c r="I10" s="330"/>
      <c r="M10" s="129"/>
      <c r="N10" s="130"/>
      <c r="O10" s="128" t="s">
        <v>632</v>
      </c>
      <c r="P10" s="129">
        <v>200</v>
      </c>
      <c r="Q10" s="129" t="s">
        <v>555</v>
      </c>
    </row>
    <row r="11" spans="1:17" s="105" customFormat="1" ht="20.100000000000001" customHeight="1">
      <c r="A11" s="36" t="s">
        <v>199</v>
      </c>
      <c r="B11" s="33">
        <v>6</v>
      </c>
      <c r="C11" s="33">
        <v>6</v>
      </c>
      <c r="D11" s="33">
        <v>8</v>
      </c>
      <c r="E11" s="33">
        <v>8</v>
      </c>
      <c r="F11" s="308">
        <f t="shared" ref="F11:F14" si="1">E11/D11*100</f>
        <v>100</v>
      </c>
      <c r="G11" s="308"/>
      <c r="H11" s="331"/>
      <c r="I11" s="332"/>
      <c r="M11" s="129"/>
      <c r="N11" s="130"/>
      <c r="O11" s="128" t="s">
        <v>633</v>
      </c>
      <c r="P11" s="129">
        <f>12.8*12</f>
        <v>153.60000000000002</v>
      </c>
      <c r="Q11" s="129" t="s">
        <v>556</v>
      </c>
    </row>
    <row r="12" spans="1:17" s="105" customFormat="1" ht="20.100000000000001" customHeight="1">
      <c r="A12" s="36" t="s">
        <v>200</v>
      </c>
      <c r="B12" s="33">
        <v>3</v>
      </c>
      <c r="C12" s="33">
        <v>3</v>
      </c>
      <c r="D12" s="33">
        <v>6</v>
      </c>
      <c r="E12" s="33">
        <v>6</v>
      </c>
      <c r="F12" s="308">
        <f t="shared" si="1"/>
        <v>100</v>
      </c>
      <c r="G12" s="308"/>
      <c r="H12" s="331"/>
      <c r="I12" s="332"/>
      <c r="M12" s="129"/>
      <c r="N12" s="130"/>
      <c r="O12" s="128" t="s">
        <v>634</v>
      </c>
      <c r="P12" s="129">
        <f>P10</f>
        <v>200</v>
      </c>
      <c r="Q12" s="129" t="s">
        <v>557</v>
      </c>
    </row>
    <row r="13" spans="1:17" s="105" customFormat="1" ht="20.100000000000001" customHeight="1">
      <c r="A13" s="36" t="s">
        <v>201</v>
      </c>
      <c r="B13" s="33">
        <v>10</v>
      </c>
      <c r="C13" s="33">
        <v>10</v>
      </c>
      <c r="D13" s="33">
        <v>10</v>
      </c>
      <c r="E13" s="33">
        <v>10</v>
      </c>
      <c r="F13" s="308">
        <f t="shared" si="1"/>
        <v>100</v>
      </c>
      <c r="G13" s="308"/>
      <c r="H13" s="331"/>
      <c r="I13" s="332"/>
      <c r="M13" s="129"/>
      <c r="N13" s="130"/>
      <c r="O13" s="128" t="s">
        <v>635</v>
      </c>
      <c r="P13" s="129">
        <f>61.9*2</f>
        <v>123.8</v>
      </c>
      <c r="Q13" s="129" t="s">
        <v>558</v>
      </c>
    </row>
    <row r="14" spans="1:17" s="105" customFormat="1" ht="20.100000000000001" customHeight="1">
      <c r="A14" s="36" t="s">
        <v>202</v>
      </c>
      <c r="B14" s="33">
        <v>30</v>
      </c>
      <c r="C14" s="33">
        <v>30</v>
      </c>
      <c r="D14" s="33">
        <v>30</v>
      </c>
      <c r="E14" s="33">
        <v>30</v>
      </c>
      <c r="F14" s="308">
        <f t="shared" si="1"/>
        <v>100</v>
      </c>
      <c r="G14" s="308"/>
      <c r="H14" s="333"/>
      <c r="I14" s="334"/>
      <c r="M14" s="129"/>
      <c r="N14" s="130"/>
      <c r="O14" s="128" t="s">
        <v>636</v>
      </c>
      <c r="P14" s="129">
        <f>61.9*2</f>
        <v>123.8</v>
      </c>
      <c r="Q14" s="129"/>
    </row>
    <row r="15" spans="1:17" s="105" customFormat="1" ht="20.100000000000001" customHeight="1">
      <c r="A15" s="36" t="s">
        <v>203</v>
      </c>
      <c r="B15" s="33">
        <v>0</v>
      </c>
      <c r="C15" s="115">
        <v>0</v>
      </c>
      <c r="D15" s="33">
        <v>0</v>
      </c>
      <c r="E15" s="33">
        <v>0</v>
      </c>
      <c r="F15" s="323">
        <v>0</v>
      </c>
      <c r="G15" s="323"/>
      <c r="H15" s="316"/>
      <c r="I15" s="296"/>
      <c r="M15" s="129"/>
      <c r="N15" s="130"/>
      <c r="O15" s="128" t="s">
        <v>637</v>
      </c>
      <c r="P15" s="129">
        <f>P14/2</f>
        <v>61.9</v>
      </c>
      <c r="Q15" s="129"/>
    </row>
    <row r="16" spans="1:17" s="105" customFormat="1" ht="20.100000000000001" customHeight="1">
      <c r="A16" s="126" t="s">
        <v>189</v>
      </c>
      <c r="B16" s="184">
        <f>'1.Фінансовий результат'!C123</f>
        <v>3877</v>
      </c>
      <c r="C16" s="185">
        <f>'1.Фінансовий результат'!D123</f>
        <v>4276</v>
      </c>
      <c r="D16" s="186">
        <f>'1.Фінансовий результат'!E123</f>
        <v>4385</v>
      </c>
      <c r="E16" s="184">
        <f>'1.Фінансовий результат'!F123</f>
        <v>4548</v>
      </c>
      <c r="F16" s="308">
        <f t="shared" ref="F16" si="2">E16/D16*100</f>
        <v>103.71721778791334</v>
      </c>
      <c r="G16" s="308"/>
      <c r="H16" s="316"/>
      <c r="I16" s="296"/>
      <c r="M16" s="129"/>
      <c r="N16" s="130"/>
      <c r="O16" s="128" t="s">
        <v>638</v>
      </c>
      <c r="P16" s="129">
        <f>56.6*2</f>
        <v>113.2</v>
      </c>
      <c r="Q16" s="129"/>
    </row>
    <row r="17" spans="1:17" s="257" customFormat="1" ht="20.100000000000001" customHeight="1">
      <c r="A17" s="36" t="s">
        <v>180</v>
      </c>
      <c r="B17" s="187">
        <v>193</v>
      </c>
      <c r="C17" s="188">
        <v>280</v>
      </c>
      <c r="D17" s="189">
        <v>380</v>
      </c>
      <c r="E17" s="148">
        <v>380</v>
      </c>
      <c r="F17" s="308">
        <f>E17/D17*100</f>
        <v>100</v>
      </c>
      <c r="G17" s="308"/>
      <c r="H17" s="325" t="s">
        <v>559</v>
      </c>
      <c r="I17" s="326"/>
      <c r="M17" s="258"/>
      <c r="N17" s="130"/>
      <c r="O17" s="128" t="s">
        <v>639</v>
      </c>
      <c r="P17" s="258">
        <f>62.6*2</f>
        <v>125.2</v>
      </c>
      <c r="Q17" s="258"/>
    </row>
    <row r="18" spans="1:17" s="257" customFormat="1" ht="20.100000000000001" customHeight="1">
      <c r="A18" s="36" t="s">
        <v>190</v>
      </c>
      <c r="B18" s="187">
        <v>550</v>
      </c>
      <c r="C18" s="188">
        <v>650</v>
      </c>
      <c r="D18" s="189">
        <v>650</v>
      </c>
      <c r="E18" s="148">
        <v>750</v>
      </c>
      <c r="F18" s="308">
        <f t="shared" ref="F18:F19" si="3">E18/D18*100</f>
        <v>115.38461538461537</v>
      </c>
      <c r="G18" s="308"/>
      <c r="H18" s="325" t="s">
        <v>560</v>
      </c>
      <c r="I18" s="326"/>
      <c r="M18" s="258"/>
      <c r="N18" s="130"/>
      <c r="O18" s="128" t="s">
        <v>640</v>
      </c>
      <c r="P18" s="258">
        <f>47.4*2</f>
        <v>94.8</v>
      </c>
      <c r="Q18" s="258"/>
    </row>
    <row r="19" spans="1:17" s="257" customFormat="1" ht="20.100000000000001" customHeight="1">
      <c r="A19" s="36" t="s">
        <v>181</v>
      </c>
      <c r="B19" s="187">
        <f>B16-B17-B18</f>
        <v>3134</v>
      </c>
      <c r="C19" s="188">
        <f>C16-C17-C18</f>
        <v>3346</v>
      </c>
      <c r="D19" s="189">
        <f>D16-D17-D18</f>
        <v>3355</v>
      </c>
      <c r="E19" s="148">
        <f>E16-E17-E18</f>
        <v>3418</v>
      </c>
      <c r="F19" s="308">
        <f t="shared" si="3"/>
        <v>101.87779433681072</v>
      </c>
      <c r="G19" s="308"/>
      <c r="H19" s="325" t="s">
        <v>560</v>
      </c>
      <c r="I19" s="326"/>
      <c r="M19" s="258"/>
      <c r="N19" s="130"/>
      <c r="O19" s="128" t="s">
        <v>641</v>
      </c>
      <c r="P19" s="40">
        <f>39.1*2</f>
        <v>78.2</v>
      </c>
      <c r="Q19" s="258"/>
    </row>
    <row r="20" spans="1:17" s="257" customFormat="1" ht="38.25" customHeight="1">
      <c r="A20" s="126" t="s">
        <v>509</v>
      </c>
      <c r="B20" s="184">
        <f>'1.Фінансовий результат'!C123+'1.Фінансовий результат'!C124</f>
        <v>4666</v>
      </c>
      <c r="C20" s="184">
        <f>'1.Фінансовий результат'!D123+'1.Фінансовий результат'!D124</f>
        <v>5216</v>
      </c>
      <c r="D20" s="190">
        <f>'1.Фінансовий результат'!E123+'1.Фінансовий результат'!E124</f>
        <v>5311</v>
      </c>
      <c r="E20" s="184">
        <f>'1.Фінансовий результат'!F123+'1.Фінансовий результат'!F124</f>
        <v>5544</v>
      </c>
      <c r="F20" s="308">
        <f t="shared" ref="F20" si="4">E20/D20*100</f>
        <v>104.38712106947845</v>
      </c>
      <c r="G20" s="308"/>
      <c r="H20" s="316"/>
      <c r="I20" s="296"/>
      <c r="M20" s="258"/>
      <c r="N20" s="130"/>
      <c r="O20" s="128" t="s">
        <v>642</v>
      </c>
      <c r="P20" s="40">
        <f>40.9*2</f>
        <v>81.8</v>
      </c>
      <c r="Q20" s="258"/>
    </row>
    <row r="21" spans="1:17" s="105" customFormat="1" ht="20.100000000000001" customHeight="1">
      <c r="A21" s="36" t="s">
        <v>180</v>
      </c>
      <c r="B21" s="187">
        <v>235.6</v>
      </c>
      <c r="C21" s="188">
        <v>341.6</v>
      </c>
      <c r="D21" s="189">
        <f>D17*1.22</f>
        <v>463.59999999999997</v>
      </c>
      <c r="E21" s="148">
        <f>E17*1.22</f>
        <v>463.59999999999997</v>
      </c>
      <c r="F21" s="308">
        <f t="shared" ref="F21:F31" si="5">E21/D21*100</f>
        <v>100</v>
      </c>
      <c r="G21" s="308"/>
      <c r="H21" s="316"/>
      <c r="I21" s="296"/>
      <c r="M21" s="129"/>
      <c r="N21" s="130"/>
      <c r="O21" s="128" t="s">
        <v>643</v>
      </c>
      <c r="P21" s="40">
        <f>47*2</f>
        <v>94</v>
      </c>
      <c r="Q21" s="129"/>
    </row>
    <row r="22" spans="1:17" s="105" customFormat="1" ht="20.100000000000001" customHeight="1">
      <c r="A22" s="36" t="s">
        <v>190</v>
      </c>
      <c r="B22" s="187">
        <f>B18*1.22</f>
        <v>671</v>
      </c>
      <c r="C22" s="188">
        <v>793</v>
      </c>
      <c r="D22" s="189">
        <f>D18*1.22</f>
        <v>793</v>
      </c>
      <c r="E22" s="148">
        <f>E18*1.22</f>
        <v>915</v>
      </c>
      <c r="F22" s="308">
        <f t="shared" si="5"/>
        <v>115.38461538461537</v>
      </c>
      <c r="G22" s="308"/>
      <c r="H22" s="316"/>
      <c r="I22" s="296"/>
      <c r="M22" s="129"/>
      <c r="N22" s="130"/>
      <c r="O22" s="128" t="s">
        <v>644</v>
      </c>
      <c r="P22" s="40">
        <v>140</v>
      </c>
      <c r="Q22" s="129"/>
    </row>
    <row r="23" spans="1:17" s="105" customFormat="1" ht="20.100000000000001" customHeight="1">
      <c r="A23" s="36" t="s">
        <v>181</v>
      </c>
      <c r="B23" s="191">
        <f t="shared" ref="B23" si="6">B20-B21-B22</f>
        <v>3759.3999999999996</v>
      </c>
      <c r="C23" s="188">
        <f t="shared" ref="C23:D23" si="7">C20-C21-C22</f>
        <v>4081.3999999999996</v>
      </c>
      <c r="D23" s="188">
        <f t="shared" si="7"/>
        <v>4054.3999999999996</v>
      </c>
      <c r="E23" s="148">
        <f>E20-E21-E22</f>
        <v>4165.3999999999996</v>
      </c>
      <c r="F23" s="308">
        <f t="shared" si="5"/>
        <v>102.73776637726914</v>
      </c>
      <c r="G23" s="308"/>
      <c r="H23" s="316"/>
      <c r="I23" s="296"/>
      <c r="M23" s="129"/>
      <c r="N23" s="130"/>
      <c r="O23" s="128" t="s">
        <v>645</v>
      </c>
      <c r="P23" s="40">
        <v>78</v>
      </c>
      <c r="Q23" s="129"/>
    </row>
    <row r="24" spans="1:17" s="105" customFormat="1" ht="38.25" customHeight="1">
      <c r="A24" s="126" t="s">
        <v>510</v>
      </c>
      <c r="B24" s="184">
        <f>B16/12/B9*1000</f>
        <v>5874.242424242424</v>
      </c>
      <c r="C24" s="186">
        <f t="shared" ref="C24:D24" si="8">C16/C9/12*1000</f>
        <v>6478.787878787879</v>
      </c>
      <c r="D24" s="186">
        <f t="shared" si="8"/>
        <v>6090.2777777777774</v>
      </c>
      <c r="E24" s="192">
        <f>E16/E9/12*1000</f>
        <v>6316.6666666666661</v>
      </c>
      <c r="F24" s="308">
        <f t="shared" si="5"/>
        <v>103.71721778791334</v>
      </c>
      <c r="G24" s="308"/>
      <c r="H24" s="316"/>
      <c r="I24" s="296"/>
      <c r="J24" s="128"/>
      <c r="K24" s="40"/>
      <c r="L24" s="129"/>
      <c r="M24" s="129"/>
      <c r="N24" s="130"/>
      <c r="O24" s="130"/>
    </row>
    <row r="25" spans="1:17" s="105" customFormat="1">
      <c r="A25" s="36" t="s">
        <v>180</v>
      </c>
      <c r="B25" s="187">
        <f>B17/12*1000</f>
        <v>16083.333333333332</v>
      </c>
      <c r="C25" s="189">
        <f t="shared" ref="C25" si="9">C17/12*1000</f>
        <v>23333.333333333332</v>
      </c>
      <c r="D25" s="189">
        <f>D17*1000/12</f>
        <v>31666.666666666668</v>
      </c>
      <c r="E25" s="193">
        <f>E17/12*1000</f>
        <v>31666.666666666668</v>
      </c>
      <c r="F25" s="308">
        <f t="shared" si="5"/>
        <v>100</v>
      </c>
      <c r="G25" s="308"/>
      <c r="H25" s="316"/>
      <c r="I25" s="296"/>
      <c r="J25" s="128"/>
      <c r="K25" s="40"/>
      <c r="L25" s="129"/>
      <c r="M25" s="129"/>
      <c r="N25" s="130"/>
      <c r="O25" s="130"/>
    </row>
    <row r="26" spans="1:17" s="105" customFormat="1" ht="20.100000000000001" customHeight="1">
      <c r="A26" s="36" t="s">
        <v>190</v>
      </c>
      <c r="B26" s="187">
        <f>B18/12/6*1000</f>
        <v>7638.8888888888896</v>
      </c>
      <c r="C26" s="189">
        <f>C18/12/6*1000</f>
        <v>9027.7777777777774</v>
      </c>
      <c r="D26" s="189">
        <f>D18/6/12*1000</f>
        <v>9027.7777777777774</v>
      </c>
      <c r="E26" s="193">
        <f>E18/12/6*1000</f>
        <v>10416.666666666666</v>
      </c>
      <c r="F26" s="308">
        <f t="shared" si="5"/>
        <v>115.38461538461537</v>
      </c>
      <c r="G26" s="308"/>
      <c r="H26" s="316"/>
      <c r="I26" s="296"/>
      <c r="J26" s="128"/>
      <c r="K26" s="40"/>
      <c r="L26" s="129"/>
      <c r="M26" s="129"/>
      <c r="N26" s="130"/>
      <c r="O26" s="130"/>
    </row>
    <row r="27" spans="1:17" s="105" customFormat="1" ht="20.100000000000001" customHeight="1">
      <c r="A27" s="36" t="s">
        <v>181</v>
      </c>
      <c r="B27" s="187">
        <f>B19/12/43*1000</f>
        <v>6073.6434108527137</v>
      </c>
      <c r="C27" s="189">
        <f>C19/12/46*1000</f>
        <v>6061.5942028985501</v>
      </c>
      <c r="D27" s="189">
        <f>D19/12/53*1000</f>
        <v>5275.1572327044023</v>
      </c>
      <c r="E27" s="193">
        <f>E19/12/46*1000</f>
        <v>6192.028985507246</v>
      </c>
      <c r="F27" s="308">
        <f t="shared" si="5"/>
        <v>117.38093695328193</v>
      </c>
      <c r="G27" s="308"/>
      <c r="H27" s="316"/>
      <c r="I27" s="296"/>
      <c r="J27" s="128"/>
      <c r="K27" s="40"/>
      <c r="L27" s="129"/>
      <c r="M27" s="129"/>
      <c r="N27" s="130"/>
      <c r="O27" s="130"/>
    </row>
    <row r="28" spans="1:17" s="105" customFormat="1" ht="37.5" customHeight="1">
      <c r="A28" s="126" t="s">
        <v>511</v>
      </c>
      <c r="B28" s="194">
        <f t="shared" ref="B28" si="10">(B16/12/B9*1000)*0.774</f>
        <v>4546.6636363636362</v>
      </c>
      <c r="C28" s="186">
        <f>(C16/12/C9*1000)*0.774</f>
        <v>5014.5818181818186</v>
      </c>
      <c r="D28" s="186">
        <f t="shared" ref="D28" si="11">(D16/12/D9*1000)*0.774</f>
        <v>4713.875</v>
      </c>
      <c r="E28" s="192">
        <f>(E16/12/E9*1000)*0.774</f>
        <v>4889.0999999999995</v>
      </c>
      <c r="F28" s="308">
        <f t="shared" si="5"/>
        <v>103.71721778791331</v>
      </c>
      <c r="G28" s="308"/>
      <c r="H28" s="316"/>
      <c r="I28" s="296"/>
      <c r="J28" s="128"/>
      <c r="K28" s="40"/>
      <c r="L28" s="129"/>
      <c r="M28" s="129"/>
      <c r="N28" s="130"/>
      <c r="O28" s="130"/>
    </row>
    <row r="29" spans="1:17" s="105" customFormat="1" ht="20.100000000000001" customHeight="1">
      <c r="A29" s="36" t="s">
        <v>180</v>
      </c>
      <c r="B29" s="187">
        <f>(B17/12*1000)*0.785</f>
        <v>12625.416666666666</v>
      </c>
      <c r="C29" s="189">
        <f t="shared" ref="C29:D29" si="12">(C17/12*1000)*0.774</f>
        <v>18060</v>
      </c>
      <c r="D29" s="189">
        <f t="shared" si="12"/>
        <v>24510</v>
      </c>
      <c r="E29" s="193">
        <f>(E17/12*1000)*0.774</f>
        <v>24510</v>
      </c>
      <c r="F29" s="308">
        <f t="shared" si="5"/>
        <v>100</v>
      </c>
      <c r="G29" s="308"/>
      <c r="H29" s="316"/>
      <c r="I29" s="296"/>
      <c r="J29" s="128"/>
      <c r="K29" s="40"/>
      <c r="L29" s="129"/>
      <c r="M29" s="129"/>
      <c r="N29" s="130"/>
      <c r="O29" s="130"/>
    </row>
    <row r="30" spans="1:17" s="105" customFormat="1" ht="20.100000000000001" customHeight="1">
      <c r="A30" s="36" t="s">
        <v>190</v>
      </c>
      <c r="B30" s="187">
        <f>(B18/12/6*1000)*0.785</f>
        <v>5996.5277777777783</v>
      </c>
      <c r="C30" s="189">
        <f>(C18/12/6*1000)*0.774</f>
        <v>6987.5</v>
      </c>
      <c r="D30" s="189">
        <f>(D18/12/6*1000)*0.774</f>
        <v>6987.5</v>
      </c>
      <c r="E30" s="193">
        <f>(E18/12/6*1000)*0.774</f>
        <v>8062.5</v>
      </c>
      <c r="F30" s="308">
        <f t="shared" si="5"/>
        <v>115.38461538461537</v>
      </c>
      <c r="G30" s="308"/>
      <c r="H30" s="316"/>
      <c r="I30" s="296"/>
      <c r="J30" s="128"/>
      <c r="K30" s="40"/>
      <c r="L30" s="129"/>
      <c r="M30" s="129"/>
      <c r="N30" s="130"/>
      <c r="O30" s="130"/>
    </row>
    <row r="31" spans="1:17" s="105" customFormat="1" ht="20.100000000000001" customHeight="1">
      <c r="A31" s="36" t="s">
        <v>181</v>
      </c>
      <c r="B31" s="187">
        <f>(B19/12/43*1000)*0.785</f>
        <v>4767.8100775193807</v>
      </c>
      <c r="C31" s="189">
        <f>(C19/12/48*1000)*0.774</f>
        <v>4496.1875</v>
      </c>
      <c r="D31" s="189">
        <f>(D19/12/46*1000)*0.774</f>
        <v>4704.29347826087</v>
      </c>
      <c r="E31" s="193">
        <f>(E19/12/48*1000)*0.774</f>
        <v>4592.9375</v>
      </c>
      <c r="F31" s="308">
        <f t="shared" si="5"/>
        <v>97.632886239443607</v>
      </c>
      <c r="G31" s="308"/>
      <c r="H31" s="316"/>
      <c r="I31" s="296"/>
      <c r="J31" s="128"/>
      <c r="K31" s="40"/>
      <c r="L31" s="129"/>
      <c r="M31" s="129"/>
      <c r="N31" s="130"/>
      <c r="O31" s="130"/>
    </row>
    <row r="32" spans="1:17" ht="16.5" customHeight="1">
      <c r="A32" s="131"/>
      <c r="B32" s="131"/>
      <c r="C32" s="131"/>
      <c r="D32" s="131"/>
      <c r="E32" s="131"/>
      <c r="F32" s="132"/>
      <c r="G32" s="132"/>
      <c r="H32" s="132"/>
      <c r="I32" s="132"/>
      <c r="J32" s="132"/>
      <c r="K32" s="132"/>
      <c r="L32" s="132"/>
      <c r="M32" s="132"/>
      <c r="N32" s="132"/>
      <c r="O32" s="132"/>
    </row>
    <row r="33" spans="1:15" s="105" customFormat="1" ht="19.5" customHeight="1">
      <c r="A33" s="133" t="s">
        <v>508</v>
      </c>
      <c r="B33" s="134"/>
      <c r="C33" s="318" t="s">
        <v>81</v>
      </c>
      <c r="D33" s="318"/>
      <c r="E33" s="318"/>
      <c r="F33" s="319"/>
      <c r="G33" s="135" t="s">
        <v>520</v>
      </c>
      <c r="I33" s="135"/>
      <c r="J33" s="135"/>
    </row>
    <row r="34" spans="1:15" ht="15.75" customHeight="1">
      <c r="A34" s="136" t="s">
        <v>59</v>
      </c>
      <c r="B34" s="105"/>
      <c r="C34" s="109"/>
      <c r="D34" s="109"/>
      <c r="E34" s="109"/>
      <c r="G34" s="109" t="s">
        <v>78</v>
      </c>
      <c r="I34" s="105"/>
      <c r="J34" s="105"/>
    </row>
    <row r="35" spans="1:15" ht="21.95" customHeight="1">
      <c r="A35" s="137" t="s">
        <v>261</v>
      </c>
      <c r="B35" s="137"/>
      <c r="C35" s="137"/>
      <c r="D35" s="137"/>
      <c r="E35" s="137"/>
      <c r="F35" s="138"/>
      <c r="G35" s="138"/>
      <c r="H35" s="137"/>
      <c r="I35" s="137"/>
      <c r="J35" s="137"/>
    </row>
    <row r="36" spans="1:15" ht="20.100000000000001" customHeight="1"/>
    <row r="37" spans="1:15" ht="39" customHeight="1">
      <c r="A37" s="322" t="s">
        <v>182</v>
      </c>
      <c r="B37" s="322" t="s">
        <v>647</v>
      </c>
      <c r="C37" s="322"/>
      <c r="D37" s="322" t="s">
        <v>646</v>
      </c>
      <c r="E37" s="322"/>
      <c r="F37" s="322" t="s">
        <v>522</v>
      </c>
      <c r="G37" s="322"/>
      <c r="H37" s="322" t="s">
        <v>648</v>
      </c>
      <c r="I37" s="322"/>
      <c r="J37" s="322" t="s">
        <v>649</v>
      </c>
      <c r="K37" s="322"/>
      <c r="L37" s="39"/>
      <c r="M37" s="39"/>
      <c r="N37" s="39"/>
      <c r="O37" s="39"/>
    </row>
    <row r="38" spans="1:15" ht="123" customHeight="1">
      <c r="A38" s="322"/>
      <c r="B38" s="33" t="s">
        <v>650</v>
      </c>
      <c r="C38" s="33" t="s">
        <v>651</v>
      </c>
      <c r="D38" s="33" t="s">
        <v>530</v>
      </c>
      <c r="E38" s="33" t="s">
        <v>498</v>
      </c>
      <c r="F38" s="33" t="s">
        <v>530</v>
      </c>
      <c r="G38" s="33" t="s">
        <v>204</v>
      </c>
      <c r="H38" s="33" t="s">
        <v>530</v>
      </c>
      <c r="I38" s="33" t="s">
        <v>204</v>
      </c>
      <c r="J38" s="33" t="s">
        <v>530</v>
      </c>
      <c r="K38" s="33" t="s">
        <v>204</v>
      </c>
      <c r="L38" s="39"/>
      <c r="M38" s="39"/>
      <c r="N38" s="39"/>
    </row>
    <row r="39" spans="1:15" ht="18" customHeight="1">
      <c r="A39" s="33">
        <v>1</v>
      </c>
      <c r="B39" s="33">
        <v>2</v>
      </c>
      <c r="C39" s="33">
        <v>3</v>
      </c>
      <c r="D39" s="33">
        <v>5</v>
      </c>
      <c r="E39" s="33">
        <v>6</v>
      </c>
      <c r="F39" s="33">
        <v>7</v>
      </c>
      <c r="G39" s="33">
        <v>8</v>
      </c>
      <c r="H39" s="33">
        <v>9</v>
      </c>
      <c r="I39" s="33">
        <v>10</v>
      </c>
      <c r="J39" s="115"/>
      <c r="K39" s="115"/>
      <c r="L39" s="109"/>
      <c r="M39" s="109"/>
      <c r="N39" s="109"/>
    </row>
    <row r="40" spans="1:15" ht="20.100000000000001" customHeight="1">
      <c r="A40" s="36" t="s">
        <v>392</v>
      </c>
      <c r="B40" s="116">
        <f>H40/$H$44*100</f>
        <v>93.463981704993017</v>
      </c>
      <c r="C40" s="116">
        <f>J40/$J$44*100</f>
        <v>93.355888700927494</v>
      </c>
      <c r="D40" s="116">
        <f>'1.Фінансовий результат'!C15</f>
        <v>24740.799999999999</v>
      </c>
      <c r="E40" s="117">
        <v>605000</v>
      </c>
      <c r="F40" s="116">
        <f>'1.Фінансовий результат'!D15</f>
        <v>27680</v>
      </c>
      <c r="G40" s="116">
        <v>605000</v>
      </c>
      <c r="H40" s="116">
        <f>'1.Фінансовий результат'!E15</f>
        <v>29426.2</v>
      </c>
      <c r="I40" s="117">
        <v>605000</v>
      </c>
      <c r="J40" s="47">
        <f>'1.Фінансовий результат'!F15</f>
        <v>32008</v>
      </c>
      <c r="K40" s="32">
        <f>I40</f>
        <v>605000</v>
      </c>
      <c r="L40" s="40"/>
      <c r="M40" s="40"/>
      <c r="N40" s="40"/>
    </row>
    <row r="41" spans="1:15" ht="20.100000000000001" customHeight="1">
      <c r="A41" s="36" t="s">
        <v>653</v>
      </c>
      <c r="B41" s="116">
        <f t="shared" ref="B41:B43" si="13">H41/$H$44*100</f>
        <v>2.5409731927328165</v>
      </c>
      <c r="C41" s="116">
        <f t="shared" ref="C41:C43" si="14">J41/$J$44*100</f>
        <v>2.111649069591087</v>
      </c>
      <c r="D41" s="116">
        <f>'1.Фінансовий результат'!C16</f>
        <v>794.5</v>
      </c>
      <c r="E41" s="117">
        <v>95300</v>
      </c>
      <c r="F41" s="116">
        <f>'1.Фінансовий результат'!D16</f>
        <v>508</v>
      </c>
      <c r="G41" s="116">
        <v>57531</v>
      </c>
      <c r="H41" s="116">
        <f>'1.Фінансовий результат'!E16</f>
        <v>800</v>
      </c>
      <c r="I41" s="117">
        <v>96038</v>
      </c>
      <c r="J41" s="47">
        <f>'1.Фінансовий результат'!F16</f>
        <v>724</v>
      </c>
      <c r="K41" s="32">
        <v>102000</v>
      </c>
      <c r="L41" s="40"/>
      <c r="M41" s="40"/>
      <c r="N41" s="40"/>
    </row>
    <row r="42" spans="1:15" ht="20.100000000000001" customHeight="1">
      <c r="A42" s="36" t="s">
        <v>393</v>
      </c>
      <c r="B42" s="116">
        <f t="shared" si="13"/>
        <v>1.5245839156396899</v>
      </c>
      <c r="C42" s="116">
        <f t="shared" si="14"/>
        <v>1.3999883334305547</v>
      </c>
      <c r="D42" s="116">
        <f>'1.Фінансовий результат'!C17</f>
        <v>380.2</v>
      </c>
      <c r="E42" s="117">
        <v>6014</v>
      </c>
      <c r="F42" s="116">
        <f>'1.Фінансовий результат'!D17</f>
        <v>480</v>
      </c>
      <c r="G42" s="116">
        <v>7200</v>
      </c>
      <c r="H42" s="116">
        <f>'1.Фінансовий результат'!E17</f>
        <v>480</v>
      </c>
      <c r="I42" s="117">
        <v>7200</v>
      </c>
      <c r="J42" s="47">
        <f>'1.Фінансовий результат'!F17</f>
        <v>480</v>
      </c>
      <c r="K42" s="32">
        <v>7200</v>
      </c>
      <c r="L42" s="40"/>
      <c r="M42" s="40"/>
      <c r="N42" s="40"/>
    </row>
    <row r="43" spans="1:15" ht="31.5">
      <c r="A43" s="36" t="s">
        <v>499</v>
      </c>
      <c r="B43" s="116">
        <f t="shared" si="13"/>
        <v>2.470461186634481</v>
      </c>
      <c r="C43" s="116">
        <f t="shared" si="14"/>
        <v>3.1324738960508665</v>
      </c>
      <c r="D43" s="116">
        <f>'1.Фінансовий результат'!C18</f>
        <v>198.5</v>
      </c>
      <c r="E43" s="117">
        <v>240</v>
      </c>
      <c r="F43" s="116">
        <f>'1.Фінансовий результат'!D18</f>
        <v>777.8</v>
      </c>
      <c r="G43" s="116" t="s">
        <v>561</v>
      </c>
      <c r="H43" s="116">
        <f>'1.Фінансовий результат'!E18</f>
        <v>777.8</v>
      </c>
      <c r="I43" s="117" t="s">
        <v>561</v>
      </c>
      <c r="J43" s="47">
        <f>'1.Фінансовий результат'!F18</f>
        <v>1074</v>
      </c>
      <c r="K43" s="32" t="s">
        <v>561</v>
      </c>
      <c r="L43" s="40"/>
      <c r="M43" s="40"/>
      <c r="N43" s="40"/>
    </row>
    <row r="44" spans="1:15" ht="20.100000000000001" customHeight="1">
      <c r="A44" s="36" t="s">
        <v>39</v>
      </c>
      <c r="B44" s="116">
        <v>100</v>
      </c>
      <c r="C44" s="116">
        <f t="shared" ref="C44" si="15">F44/$F$44*100</f>
        <v>100</v>
      </c>
      <c r="D44" s="116">
        <f>SUM(D40:D43)</f>
        <v>26114</v>
      </c>
      <c r="E44" s="117"/>
      <c r="F44" s="116">
        <f>SUM(F40:F43)</f>
        <v>29445.8</v>
      </c>
      <c r="G44" s="118"/>
      <c r="H44" s="118">
        <f>SUM(H40:H43)</f>
        <v>31484</v>
      </c>
      <c r="I44" s="119"/>
      <c r="J44" s="183">
        <f>'1.Фінансовий результат'!F14</f>
        <v>34286</v>
      </c>
      <c r="K44" s="120"/>
      <c r="L44" s="140"/>
      <c r="M44" s="140"/>
      <c r="N44" s="140"/>
    </row>
    <row r="45" spans="1:15" ht="20.100000000000001" customHeight="1">
      <c r="A45" s="141"/>
      <c r="B45" s="142"/>
      <c r="C45" s="142"/>
      <c r="D45" s="142"/>
      <c r="E45" s="142"/>
      <c r="F45" s="143"/>
      <c r="G45" s="142"/>
      <c r="H45" s="144"/>
      <c r="I45" s="144"/>
      <c r="J45" s="145"/>
      <c r="K45" s="140"/>
      <c r="L45" s="140"/>
      <c r="M45" s="140"/>
      <c r="N45" s="140"/>
      <c r="O45" s="140"/>
    </row>
    <row r="46" spans="1:15" s="105" customFormat="1" ht="19.5" customHeight="1">
      <c r="A46" s="133" t="s">
        <v>508</v>
      </c>
      <c r="B46" s="134"/>
      <c r="C46" s="318" t="s">
        <v>81</v>
      </c>
      <c r="D46" s="318"/>
      <c r="E46" s="318"/>
      <c r="F46" s="319"/>
      <c r="G46" s="135" t="s">
        <v>520</v>
      </c>
      <c r="I46" s="135"/>
      <c r="J46" s="135"/>
    </row>
    <row r="47" spans="1:15" ht="15.75" customHeight="1">
      <c r="A47" s="136" t="s">
        <v>59</v>
      </c>
      <c r="B47" s="105"/>
      <c r="C47" s="109"/>
      <c r="D47" s="109"/>
      <c r="E47" s="109"/>
      <c r="G47" s="109" t="s">
        <v>78</v>
      </c>
      <c r="I47" s="105"/>
      <c r="J47" s="105"/>
    </row>
    <row r="48" spans="1:15" ht="20.100000000000001" customHeight="1">
      <c r="A48" s="141"/>
      <c r="B48" s="142"/>
      <c r="C48" s="142"/>
      <c r="D48" s="142"/>
      <c r="E48" s="142"/>
      <c r="F48" s="143"/>
      <c r="G48" s="142"/>
      <c r="H48" s="144"/>
      <c r="I48" s="144"/>
      <c r="J48" s="145"/>
      <c r="K48" s="140"/>
      <c r="L48" s="140"/>
      <c r="M48" s="140"/>
      <c r="N48" s="140"/>
      <c r="O48" s="140"/>
    </row>
    <row r="49" spans="1:15" ht="21.95" customHeight="1">
      <c r="A49" s="122" t="s">
        <v>219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</row>
    <row r="50" spans="1:15" ht="20.100000000000001" customHeight="1"/>
    <row r="51" spans="1:15" ht="81.75" customHeight="1">
      <c r="A51" s="33" t="s">
        <v>96</v>
      </c>
      <c r="B51" s="292" t="s">
        <v>53</v>
      </c>
      <c r="C51" s="293"/>
      <c r="D51" s="296"/>
      <c r="E51" s="33" t="s">
        <v>222</v>
      </c>
      <c r="F51" s="33" t="s">
        <v>50</v>
      </c>
      <c r="G51" s="33" t="s">
        <v>205</v>
      </c>
      <c r="H51" s="33" t="s">
        <v>66</v>
      </c>
      <c r="I51" s="292" t="s">
        <v>18</v>
      </c>
      <c r="J51" s="296"/>
      <c r="K51" s="39"/>
      <c r="L51" s="39"/>
      <c r="M51" s="39"/>
      <c r="N51" s="39"/>
      <c r="O51" s="39"/>
    </row>
    <row r="52" spans="1:15" ht="18" customHeight="1">
      <c r="A52" s="115">
        <v>1</v>
      </c>
      <c r="B52" s="292">
        <v>2</v>
      </c>
      <c r="C52" s="293"/>
      <c r="D52" s="296"/>
      <c r="E52" s="115">
        <v>3</v>
      </c>
      <c r="F52" s="115">
        <v>4</v>
      </c>
      <c r="G52" s="115">
        <v>5</v>
      </c>
      <c r="H52" s="146">
        <v>6</v>
      </c>
      <c r="I52" s="292">
        <v>7</v>
      </c>
      <c r="J52" s="296"/>
      <c r="K52" s="109"/>
      <c r="L52" s="109"/>
      <c r="M52" s="109"/>
      <c r="N52" s="109"/>
      <c r="O52" s="109"/>
    </row>
    <row r="53" spans="1:15" ht="20.100000000000001" customHeight="1">
      <c r="A53" s="36"/>
      <c r="B53" s="316"/>
      <c r="C53" s="317"/>
      <c r="D53" s="296"/>
      <c r="E53" s="32"/>
      <c r="F53" s="32"/>
      <c r="G53" s="32"/>
      <c r="H53" s="47"/>
      <c r="I53" s="292"/>
      <c r="J53" s="296"/>
      <c r="K53" s="40"/>
      <c r="L53" s="40"/>
      <c r="M53" s="40"/>
      <c r="N53" s="40"/>
      <c r="O53" s="40"/>
    </row>
    <row r="54" spans="1:15" ht="20.100000000000001" customHeight="1">
      <c r="A54" s="36" t="s">
        <v>39</v>
      </c>
      <c r="B54" s="292" t="s">
        <v>19</v>
      </c>
      <c r="C54" s="293"/>
      <c r="D54" s="296"/>
      <c r="E54" s="33"/>
      <c r="F54" s="33" t="s">
        <v>19</v>
      </c>
      <c r="G54" s="33" t="s">
        <v>19</v>
      </c>
      <c r="H54" s="33"/>
      <c r="I54" s="292" t="s">
        <v>19</v>
      </c>
      <c r="J54" s="296"/>
      <c r="K54" s="40"/>
      <c r="L54" s="40"/>
      <c r="M54" s="40"/>
      <c r="N54" s="40"/>
      <c r="O54" s="40"/>
    </row>
    <row r="55" spans="1:15" ht="20.100000000000001" customHeight="1">
      <c r="A55" s="147"/>
      <c r="B55" s="109"/>
      <c r="C55" s="109"/>
      <c r="D55" s="109"/>
      <c r="E55" s="109"/>
      <c r="F55" s="109"/>
      <c r="G55" s="109"/>
      <c r="H55" s="109"/>
      <c r="I55" s="109"/>
      <c r="J55" s="109"/>
      <c r="K55" s="105"/>
      <c r="L55" s="105"/>
      <c r="M55" s="105"/>
      <c r="N55" s="105"/>
      <c r="O55" s="105"/>
    </row>
    <row r="56" spans="1:15" ht="21.95" customHeight="1">
      <c r="A56" s="122" t="s">
        <v>220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</row>
    <row r="57" spans="1:15" ht="20.100000000000001" customHeight="1">
      <c r="A57" s="122"/>
      <c r="B57" s="122"/>
      <c r="C57" s="122"/>
      <c r="D57" s="122"/>
      <c r="E57" s="122"/>
      <c r="F57" s="122"/>
      <c r="G57" s="122"/>
      <c r="H57" s="122"/>
      <c r="I57" s="122"/>
    </row>
    <row r="58" spans="1:15" ht="82.5" customHeight="1">
      <c r="A58" s="33" t="s">
        <v>49</v>
      </c>
      <c r="B58" s="292" t="s">
        <v>531</v>
      </c>
      <c r="C58" s="293"/>
      <c r="D58" s="296"/>
      <c r="E58" s="33" t="s">
        <v>500</v>
      </c>
      <c r="F58" s="292" t="s">
        <v>501</v>
      </c>
      <c r="G58" s="296"/>
      <c r="H58" s="292" t="s">
        <v>532</v>
      </c>
      <c r="I58" s="293"/>
      <c r="J58" s="296"/>
      <c r="K58" s="39"/>
      <c r="L58" s="39"/>
      <c r="M58" s="39"/>
      <c r="N58" s="39"/>
      <c r="O58" s="39"/>
    </row>
    <row r="59" spans="1:15" ht="18" customHeight="1">
      <c r="A59" s="33">
        <v>1</v>
      </c>
      <c r="B59" s="292">
        <v>2</v>
      </c>
      <c r="C59" s="293"/>
      <c r="D59" s="296"/>
      <c r="E59" s="33">
        <v>3</v>
      </c>
      <c r="F59" s="292">
        <v>4</v>
      </c>
      <c r="G59" s="296"/>
      <c r="H59" s="292">
        <v>5</v>
      </c>
      <c r="I59" s="293"/>
      <c r="J59" s="296"/>
      <c r="K59" s="109"/>
      <c r="L59" s="109"/>
      <c r="M59" s="109"/>
      <c r="N59" s="109"/>
      <c r="O59" s="109"/>
    </row>
    <row r="60" spans="1:15" ht="20.100000000000001" customHeight="1">
      <c r="A60" s="36" t="s">
        <v>206</v>
      </c>
      <c r="B60" s="313">
        <v>0</v>
      </c>
      <c r="C60" s="314"/>
      <c r="D60" s="315"/>
      <c r="E60" s="148">
        <v>0</v>
      </c>
      <c r="F60" s="309">
        <v>0</v>
      </c>
      <c r="G60" s="310"/>
      <c r="H60" s="309">
        <v>0</v>
      </c>
      <c r="I60" s="356"/>
      <c r="J60" s="310"/>
      <c r="K60" s="40"/>
      <c r="L60" s="40"/>
      <c r="M60" s="40"/>
      <c r="N60" s="40"/>
      <c r="O60" s="40"/>
    </row>
    <row r="61" spans="1:15" ht="20.100000000000001" customHeight="1">
      <c r="A61" s="36" t="s">
        <v>79</v>
      </c>
      <c r="B61" s="313">
        <v>0</v>
      </c>
      <c r="C61" s="314"/>
      <c r="D61" s="315"/>
      <c r="E61" s="148">
        <v>0</v>
      </c>
      <c r="F61" s="309">
        <v>0</v>
      </c>
      <c r="G61" s="310"/>
      <c r="H61" s="309">
        <v>0</v>
      </c>
      <c r="I61" s="356"/>
      <c r="J61" s="310"/>
      <c r="K61" s="40"/>
      <c r="L61" s="40"/>
      <c r="M61" s="40"/>
      <c r="N61" s="40"/>
      <c r="O61" s="40"/>
    </row>
    <row r="62" spans="1:15" ht="20.100000000000001" customHeight="1">
      <c r="A62" s="36"/>
      <c r="B62" s="313"/>
      <c r="C62" s="314"/>
      <c r="D62" s="315"/>
      <c r="E62" s="148"/>
      <c r="F62" s="309"/>
      <c r="G62" s="310"/>
      <c r="H62" s="309"/>
      <c r="I62" s="356"/>
      <c r="J62" s="310"/>
      <c r="K62" s="40"/>
      <c r="L62" s="40"/>
      <c r="M62" s="40"/>
      <c r="N62" s="40"/>
      <c r="O62" s="40"/>
    </row>
    <row r="63" spans="1:15" ht="20.100000000000001" customHeight="1">
      <c r="A63" s="36" t="s">
        <v>207</v>
      </c>
      <c r="B63" s="313">
        <v>0</v>
      </c>
      <c r="C63" s="314"/>
      <c r="D63" s="315"/>
      <c r="E63" s="148">
        <f>E64</f>
        <v>0</v>
      </c>
      <c r="F63" s="309">
        <f>F64</f>
        <v>0</v>
      </c>
      <c r="G63" s="310"/>
      <c r="H63" s="309">
        <v>0</v>
      </c>
      <c r="I63" s="356"/>
      <c r="J63" s="310"/>
      <c r="K63" s="40"/>
      <c r="L63" s="40"/>
      <c r="M63" s="40"/>
      <c r="N63" s="40"/>
      <c r="O63" s="40"/>
    </row>
    <row r="64" spans="1:15" ht="20.100000000000001" customHeight="1">
      <c r="A64" s="36" t="s">
        <v>652</v>
      </c>
      <c r="B64" s="313">
        <v>0</v>
      </c>
      <c r="C64" s="314"/>
      <c r="D64" s="315"/>
      <c r="E64" s="148">
        <f>'3. Рух грошових коштів'!F58</f>
        <v>0</v>
      </c>
      <c r="F64" s="309">
        <f>E64</f>
        <v>0</v>
      </c>
      <c r="G64" s="310"/>
      <c r="H64" s="309">
        <v>0</v>
      </c>
      <c r="I64" s="356"/>
      <c r="J64" s="310"/>
      <c r="K64" s="40"/>
      <c r="L64" s="40"/>
      <c r="M64" s="40"/>
      <c r="N64" s="40"/>
      <c r="O64" s="40"/>
    </row>
    <row r="65" spans="1:29" ht="20.100000000000001" customHeight="1">
      <c r="A65" s="36"/>
      <c r="B65" s="313"/>
      <c r="C65" s="314"/>
      <c r="D65" s="315"/>
      <c r="E65" s="148"/>
      <c r="F65" s="309"/>
      <c r="G65" s="310"/>
      <c r="H65" s="309"/>
      <c r="I65" s="356"/>
      <c r="J65" s="310"/>
      <c r="K65" s="40"/>
      <c r="L65" s="40"/>
      <c r="M65" s="40"/>
      <c r="N65" s="40"/>
      <c r="O65" s="40"/>
    </row>
    <row r="66" spans="1:29" ht="20.100000000000001" customHeight="1">
      <c r="A66" s="36" t="s">
        <v>208</v>
      </c>
      <c r="B66" s="313">
        <v>0</v>
      </c>
      <c r="C66" s="314"/>
      <c r="D66" s="315"/>
      <c r="E66" s="148">
        <v>0</v>
      </c>
      <c r="F66" s="309">
        <v>0</v>
      </c>
      <c r="G66" s="310"/>
      <c r="H66" s="309">
        <v>0</v>
      </c>
      <c r="I66" s="356"/>
      <c r="J66" s="310"/>
      <c r="K66" s="40"/>
      <c r="L66" s="40"/>
      <c r="M66" s="40"/>
      <c r="N66" s="40"/>
      <c r="O66" s="40"/>
    </row>
    <row r="67" spans="1:29" ht="20.100000000000001" customHeight="1">
      <c r="A67" s="36" t="s">
        <v>79</v>
      </c>
      <c r="B67" s="313">
        <v>0</v>
      </c>
      <c r="C67" s="314"/>
      <c r="D67" s="315"/>
      <c r="E67" s="148">
        <v>0</v>
      </c>
      <c r="F67" s="309">
        <v>0</v>
      </c>
      <c r="G67" s="310"/>
      <c r="H67" s="309">
        <v>0</v>
      </c>
      <c r="I67" s="356"/>
      <c r="J67" s="310"/>
      <c r="K67" s="40"/>
      <c r="L67" s="40"/>
      <c r="M67" s="40"/>
      <c r="N67" s="40"/>
      <c r="O67" s="40"/>
    </row>
    <row r="68" spans="1:29" ht="20.100000000000001" customHeight="1">
      <c r="A68" s="36"/>
      <c r="B68" s="313"/>
      <c r="C68" s="314"/>
      <c r="D68" s="315"/>
      <c r="E68" s="149"/>
      <c r="F68" s="309"/>
      <c r="G68" s="310"/>
      <c r="H68" s="309"/>
      <c r="I68" s="356"/>
      <c r="J68" s="310"/>
      <c r="K68" s="40"/>
      <c r="L68" s="40"/>
      <c r="M68" s="40"/>
      <c r="N68" s="40"/>
      <c r="O68" s="40"/>
    </row>
    <row r="69" spans="1:29" ht="20.100000000000001" customHeight="1">
      <c r="A69" s="126" t="s">
        <v>39</v>
      </c>
      <c r="B69" s="379">
        <v>0</v>
      </c>
      <c r="C69" s="380"/>
      <c r="D69" s="381"/>
      <c r="E69" s="150">
        <f>E60+E63+E66</f>
        <v>0</v>
      </c>
      <c r="F69" s="357">
        <f>F60+F63+F66</f>
        <v>0</v>
      </c>
      <c r="G69" s="359"/>
      <c r="H69" s="357">
        <v>0</v>
      </c>
      <c r="I69" s="358"/>
      <c r="J69" s="359"/>
      <c r="K69" s="40"/>
      <c r="L69" s="40"/>
      <c r="M69" s="40"/>
      <c r="N69" s="40"/>
      <c r="O69" s="40"/>
    </row>
    <row r="70" spans="1:29" ht="20.100000000000001" customHeight="1">
      <c r="A70" s="151"/>
      <c r="B70" s="152"/>
      <c r="C70" s="152"/>
      <c r="D70" s="153"/>
      <c r="E70" s="154"/>
      <c r="F70" s="155"/>
      <c r="G70" s="156"/>
      <c r="H70" s="155"/>
      <c r="I70" s="155"/>
      <c r="J70" s="156"/>
      <c r="K70" s="40"/>
      <c r="L70" s="40"/>
      <c r="M70" s="40"/>
      <c r="N70" s="40"/>
      <c r="O70" s="40"/>
    </row>
    <row r="71" spans="1:29" s="105" customFormat="1" ht="19.5" customHeight="1">
      <c r="A71" s="133" t="s">
        <v>508</v>
      </c>
      <c r="B71" s="134"/>
      <c r="C71" s="318" t="s">
        <v>81</v>
      </c>
      <c r="D71" s="318"/>
      <c r="E71" s="318"/>
      <c r="F71" s="319"/>
      <c r="G71" s="135" t="s">
        <v>520</v>
      </c>
      <c r="I71" s="135"/>
      <c r="J71" s="135"/>
    </row>
    <row r="72" spans="1:29" ht="15.75" customHeight="1">
      <c r="A72" s="136" t="s">
        <v>59</v>
      </c>
      <c r="B72" s="105"/>
      <c r="C72" s="109"/>
      <c r="D72" s="109"/>
      <c r="E72" s="109"/>
      <c r="G72" s="109" t="s">
        <v>78</v>
      </c>
      <c r="I72" s="105"/>
      <c r="J72" s="105"/>
    </row>
    <row r="73" spans="1:29" ht="20.100000000000001" customHeight="1">
      <c r="A73" s="151"/>
      <c r="B73" s="152"/>
      <c r="C73" s="152"/>
      <c r="D73" s="153"/>
      <c r="E73" s="154"/>
      <c r="F73" s="155"/>
      <c r="G73" s="156"/>
      <c r="H73" s="155"/>
      <c r="I73" s="155"/>
      <c r="J73" s="156"/>
      <c r="K73" s="40"/>
      <c r="L73" s="40"/>
      <c r="M73" s="40"/>
      <c r="N73" s="40"/>
      <c r="O73" s="40"/>
    </row>
    <row r="74" spans="1:29">
      <c r="A74" s="336" t="s">
        <v>238</v>
      </c>
      <c r="B74" s="336"/>
      <c r="C74" s="336"/>
      <c r="D74" s="336"/>
      <c r="E74" s="336"/>
      <c r="F74" s="336"/>
      <c r="G74" s="336"/>
      <c r="H74" s="336"/>
      <c r="I74" s="336"/>
      <c r="J74" s="336"/>
      <c r="K74" s="336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</row>
    <row r="75" spans="1:29">
      <c r="A75" s="157"/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</row>
    <row r="76" spans="1:29" ht="18.75" customHeight="1">
      <c r="A76" s="338" t="s">
        <v>34</v>
      </c>
      <c r="B76" s="344" t="s">
        <v>144</v>
      </c>
      <c r="C76" s="345"/>
      <c r="D76" s="346"/>
      <c r="E76" s="290" t="s">
        <v>145</v>
      </c>
      <c r="F76" s="290" t="s">
        <v>211</v>
      </c>
      <c r="G76" s="290" t="s">
        <v>146</v>
      </c>
      <c r="H76" s="292" t="s">
        <v>223</v>
      </c>
      <c r="I76" s="293"/>
      <c r="J76" s="293"/>
      <c r="K76" s="293"/>
      <c r="L76" s="294"/>
      <c r="M76" s="39"/>
      <c r="N76" s="39"/>
      <c r="O76" s="39"/>
      <c r="P76" s="3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</row>
    <row r="77" spans="1:29" ht="18.75" customHeight="1">
      <c r="A77" s="339"/>
      <c r="B77" s="350"/>
      <c r="C77" s="351"/>
      <c r="D77" s="352"/>
      <c r="E77" s="321"/>
      <c r="F77" s="321"/>
      <c r="G77" s="321"/>
      <c r="H77" s="158" t="s">
        <v>147</v>
      </c>
      <c r="I77" s="33" t="s">
        <v>148</v>
      </c>
      <c r="J77" s="33" t="s">
        <v>590</v>
      </c>
      <c r="K77" s="33" t="s">
        <v>149</v>
      </c>
      <c r="L77" s="159" t="s">
        <v>150</v>
      </c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109"/>
      <c r="Z77" s="109"/>
      <c r="AA77" s="109"/>
      <c r="AB77" s="109"/>
      <c r="AC77" s="109"/>
    </row>
    <row r="78" spans="1:29">
      <c r="A78" s="22">
        <v>1</v>
      </c>
      <c r="B78" s="341">
        <v>2</v>
      </c>
      <c r="C78" s="342"/>
      <c r="D78" s="343"/>
      <c r="E78" s="33">
        <v>3</v>
      </c>
      <c r="F78" s="33">
        <v>4</v>
      </c>
      <c r="G78" s="34">
        <v>5</v>
      </c>
      <c r="H78" s="33">
        <v>6</v>
      </c>
      <c r="I78" s="33">
        <v>7</v>
      </c>
      <c r="J78" s="33">
        <v>8</v>
      </c>
      <c r="K78" s="33">
        <v>9</v>
      </c>
      <c r="L78" s="35">
        <v>10</v>
      </c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109"/>
      <c r="X78" s="109"/>
      <c r="Y78" s="109"/>
      <c r="Z78" s="109"/>
      <c r="AA78" s="109"/>
      <c r="AB78" s="109"/>
      <c r="AC78" s="109"/>
    </row>
    <row r="79" spans="1:29" ht="31.5">
      <c r="A79" s="22">
        <v>1</v>
      </c>
      <c r="B79" s="341" t="s">
        <v>503</v>
      </c>
      <c r="C79" s="342"/>
      <c r="D79" s="343"/>
      <c r="E79" s="33">
        <v>2006</v>
      </c>
      <c r="F79" s="33" t="s">
        <v>504</v>
      </c>
      <c r="G79" s="160">
        <f>H79+I79+J79+K79</f>
        <v>178.5</v>
      </c>
      <c r="H79" s="45">
        <f>'1.Фінансовий результат'!F52</f>
        <v>98</v>
      </c>
      <c r="I79" s="45">
        <f>5.5*12</f>
        <v>66</v>
      </c>
      <c r="J79" s="45">
        <v>14.5</v>
      </c>
      <c r="K79" s="45">
        <v>0</v>
      </c>
      <c r="L79" s="161">
        <v>0</v>
      </c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</row>
    <row r="80" spans="1:29">
      <c r="A80" s="162" t="s">
        <v>39</v>
      </c>
      <c r="B80" s="341"/>
      <c r="C80" s="342"/>
      <c r="D80" s="343"/>
      <c r="E80" s="22"/>
      <c r="F80" s="163"/>
      <c r="G80" s="164">
        <f>G79</f>
        <v>178.5</v>
      </c>
      <c r="H80" s="164">
        <f t="shared" ref="H80:L80" si="16">H79</f>
        <v>98</v>
      </c>
      <c r="I80" s="164">
        <f t="shared" si="16"/>
        <v>66</v>
      </c>
      <c r="J80" s="164">
        <f t="shared" si="16"/>
        <v>14.5</v>
      </c>
      <c r="K80" s="164">
        <f t="shared" si="16"/>
        <v>0</v>
      </c>
      <c r="L80" s="164">
        <f t="shared" si="16"/>
        <v>0</v>
      </c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</row>
    <row r="81" spans="1:29">
      <c r="A81" s="165"/>
      <c r="B81" s="165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54"/>
      <c r="N81" s="154"/>
      <c r="O81" s="154"/>
      <c r="P81" s="154"/>
      <c r="Q81" s="155"/>
      <c r="R81" s="155"/>
      <c r="S81" s="155"/>
      <c r="T81" s="155"/>
      <c r="U81" s="155"/>
      <c r="V81" s="155"/>
      <c r="W81" s="166"/>
      <c r="X81" s="166"/>
      <c r="Y81" s="166"/>
      <c r="Z81" s="166"/>
      <c r="AA81" s="166"/>
      <c r="AB81" s="166"/>
      <c r="AC81" s="166"/>
    </row>
    <row r="82" spans="1:29">
      <c r="A82" s="337" t="s">
        <v>239</v>
      </c>
      <c r="B82" s="337"/>
      <c r="C82" s="337"/>
      <c r="D82" s="337"/>
      <c r="E82" s="337"/>
      <c r="F82" s="337"/>
      <c r="G82" s="337"/>
      <c r="H82" s="337"/>
      <c r="I82" s="3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</row>
    <row r="83" spans="1:29">
      <c r="A83" s="137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</row>
    <row r="84" spans="1:29" ht="18.75" customHeight="1">
      <c r="A84" s="338" t="s">
        <v>34</v>
      </c>
      <c r="B84" s="344" t="s">
        <v>151</v>
      </c>
      <c r="C84" s="345"/>
      <c r="D84" s="346"/>
      <c r="E84" s="290" t="s">
        <v>144</v>
      </c>
      <c r="F84" s="290" t="s">
        <v>211</v>
      </c>
      <c r="G84" s="290" t="s">
        <v>152</v>
      </c>
      <c r="H84" s="292" t="s">
        <v>153</v>
      </c>
      <c r="I84" s="293"/>
      <c r="J84" s="293"/>
      <c r="K84" s="293"/>
      <c r="L84" s="294"/>
      <c r="M84" s="39"/>
      <c r="N84" s="39"/>
      <c r="O84" s="39"/>
      <c r="P84" s="39"/>
      <c r="Q84" s="39"/>
      <c r="R84" s="39"/>
      <c r="S84" s="39"/>
      <c r="T84" s="39"/>
      <c r="U84" s="39"/>
      <c r="V84" s="109"/>
      <c r="W84" s="109"/>
      <c r="X84" s="109"/>
      <c r="Y84" s="109"/>
      <c r="Z84" s="109"/>
      <c r="AA84" s="109"/>
      <c r="AB84" s="109"/>
      <c r="AC84" s="109"/>
    </row>
    <row r="85" spans="1:29" ht="18.75" customHeight="1">
      <c r="A85" s="340"/>
      <c r="B85" s="347"/>
      <c r="C85" s="348"/>
      <c r="D85" s="349"/>
      <c r="E85" s="320"/>
      <c r="F85" s="320"/>
      <c r="G85" s="320"/>
      <c r="H85" s="290" t="s">
        <v>154</v>
      </c>
      <c r="I85" s="292" t="s">
        <v>75</v>
      </c>
      <c r="J85" s="293"/>
      <c r="K85" s="293"/>
      <c r="L85" s="294"/>
      <c r="M85" s="39"/>
      <c r="N85" s="39"/>
      <c r="O85" s="39"/>
      <c r="P85" s="39"/>
      <c r="Q85" s="39"/>
      <c r="R85" s="39"/>
      <c r="S85" s="39"/>
      <c r="T85" s="39"/>
      <c r="U85" s="39"/>
      <c r="V85" s="109"/>
      <c r="W85" s="109"/>
      <c r="X85" s="109"/>
      <c r="Y85" s="109"/>
      <c r="Z85" s="109"/>
      <c r="AA85" s="109"/>
      <c r="AB85" s="109"/>
      <c r="AC85" s="109"/>
    </row>
    <row r="86" spans="1:29">
      <c r="A86" s="339"/>
      <c r="B86" s="350"/>
      <c r="C86" s="351"/>
      <c r="D86" s="352"/>
      <c r="E86" s="321"/>
      <c r="F86" s="321"/>
      <c r="G86" s="321"/>
      <c r="H86" s="321"/>
      <c r="I86" s="33" t="s">
        <v>224</v>
      </c>
      <c r="J86" s="33" t="s">
        <v>225</v>
      </c>
      <c r="K86" s="33" t="s">
        <v>226</v>
      </c>
      <c r="L86" s="33" t="s">
        <v>227</v>
      </c>
      <c r="M86" s="39"/>
      <c r="N86" s="39"/>
      <c r="O86" s="39"/>
      <c r="P86" s="39"/>
      <c r="Q86" s="39"/>
      <c r="R86" s="39"/>
      <c r="S86" s="39"/>
      <c r="T86" s="39"/>
      <c r="U86" s="39"/>
      <c r="V86" s="109"/>
      <c r="W86" s="109"/>
      <c r="X86" s="109"/>
      <c r="Y86" s="109"/>
      <c r="Z86" s="109"/>
      <c r="AA86" s="109"/>
      <c r="AB86" s="109"/>
      <c r="AC86" s="109"/>
    </row>
    <row r="87" spans="1:29">
      <c r="A87" s="22">
        <v>1</v>
      </c>
      <c r="B87" s="341">
        <v>2</v>
      </c>
      <c r="C87" s="342"/>
      <c r="D87" s="343"/>
      <c r="E87" s="33">
        <v>3</v>
      </c>
      <c r="F87" s="33">
        <v>4</v>
      </c>
      <c r="G87" s="33">
        <v>5</v>
      </c>
      <c r="H87" s="33">
        <v>6</v>
      </c>
      <c r="I87" s="33">
        <v>7</v>
      </c>
      <c r="J87" s="33">
        <v>8</v>
      </c>
      <c r="K87" s="33">
        <v>9</v>
      </c>
      <c r="L87" s="33">
        <v>10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109"/>
      <c r="Y87" s="109"/>
      <c r="Z87" s="109"/>
      <c r="AA87" s="109"/>
      <c r="AB87" s="109"/>
      <c r="AC87" s="109"/>
    </row>
    <row r="88" spans="1:29">
      <c r="A88" s="31" t="s">
        <v>502</v>
      </c>
      <c r="B88" s="376"/>
      <c r="C88" s="377"/>
      <c r="D88" s="378"/>
      <c r="E88" s="36"/>
      <c r="F88" s="36"/>
      <c r="G88" s="36"/>
      <c r="H88" s="45">
        <f>SUM(I88:L88)</f>
        <v>0</v>
      </c>
      <c r="I88" s="37"/>
      <c r="J88" s="37"/>
      <c r="K88" s="37"/>
      <c r="L88" s="37"/>
      <c r="M88" s="41"/>
      <c r="N88" s="41"/>
      <c r="O88" s="41"/>
      <c r="P88" s="41"/>
      <c r="Q88" s="42"/>
      <c r="R88" s="42"/>
      <c r="S88" s="42"/>
      <c r="T88" s="42"/>
      <c r="U88" s="42"/>
      <c r="V88" s="40"/>
      <c r="W88" s="40"/>
      <c r="X88" s="40"/>
      <c r="Y88" s="40"/>
      <c r="Z88" s="40"/>
      <c r="AA88" s="40"/>
      <c r="AB88" s="40"/>
      <c r="AC88" s="40"/>
    </row>
    <row r="89" spans="1:29">
      <c r="A89" s="162" t="s">
        <v>39</v>
      </c>
      <c r="B89" s="376"/>
      <c r="C89" s="377"/>
      <c r="D89" s="378"/>
      <c r="E89" s="162"/>
      <c r="F89" s="162"/>
      <c r="G89" s="162"/>
      <c r="H89" s="167">
        <f>SUM(H88)</f>
        <v>0</v>
      </c>
      <c r="I89" s="162"/>
      <c r="J89" s="162"/>
      <c r="K89" s="162"/>
      <c r="L89" s="162"/>
      <c r="M89" s="132"/>
      <c r="N89" s="132"/>
      <c r="O89" s="132"/>
      <c r="P89" s="132"/>
      <c r="Q89" s="132"/>
      <c r="R89" s="132"/>
      <c r="S89" s="132"/>
      <c r="T89" s="132"/>
      <c r="U89" s="132"/>
      <c r="V89" s="40"/>
      <c r="W89" s="40"/>
      <c r="X89" s="40"/>
      <c r="Y89" s="40"/>
      <c r="Z89" s="40"/>
      <c r="AA89" s="40"/>
      <c r="AB89" s="40"/>
      <c r="AC89" s="40"/>
    </row>
    <row r="90" spans="1:29">
      <c r="A90" s="132"/>
      <c r="B90" s="132"/>
      <c r="C90" s="132"/>
      <c r="D90" s="168"/>
      <c r="E90" s="132"/>
      <c r="F90" s="132"/>
      <c r="G90" s="132"/>
      <c r="H90" s="169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40"/>
      <c r="W90" s="40"/>
      <c r="X90" s="40"/>
      <c r="Y90" s="40"/>
      <c r="Z90" s="40"/>
      <c r="AA90" s="40"/>
      <c r="AB90" s="40"/>
      <c r="AC90" s="40"/>
    </row>
    <row r="91" spans="1:29" s="105" customFormat="1" ht="19.5" customHeight="1">
      <c r="A91" s="133" t="s">
        <v>508</v>
      </c>
      <c r="B91" s="134"/>
      <c r="C91" s="318" t="s">
        <v>81</v>
      </c>
      <c r="D91" s="318"/>
      <c r="E91" s="318"/>
      <c r="F91" s="319"/>
      <c r="G91" s="135" t="s">
        <v>520</v>
      </c>
      <c r="I91" s="135"/>
      <c r="J91" s="135"/>
    </row>
    <row r="92" spans="1:29" ht="15.75" customHeight="1">
      <c r="A92" s="136" t="s">
        <v>59</v>
      </c>
      <c r="B92" s="105"/>
      <c r="C92" s="109"/>
      <c r="D92" s="109"/>
      <c r="E92" s="109"/>
      <c r="G92" s="109" t="s">
        <v>78</v>
      </c>
      <c r="I92" s="105"/>
      <c r="J92" s="105"/>
    </row>
    <row r="93" spans="1:29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Q93" s="124"/>
      <c r="R93" s="124"/>
      <c r="S93" s="124"/>
      <c r="T93" s="124"/>
      <c r="U93" s="124"/>
      <c r="AC93" s="124"/>
    </row>
    <row r="94" spans="1:29">
      <c r="A94" s="337" t="s">
        <v>221</v>
      </c>
      <c r="B94" s="337"/>
      <c r="C94" s="337"/>
      <c r="D94" s="337"/>
      <c r="E94" s="337"/>
      <c r="F94" s="337"/>
      <c r="G94" s="3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</row>
    <row r="95" spans="1:29">
      <c r="A95" s="170"/>
      <c r="B95" s="170"/>
      <c r="C95" s="170"/>
      <c r="D95" s="170"/>
      <c r="E95" s="170"/>
      <c r="F95" s="170"/>
      <c r="G95" s="170"/>
      <c r="H95" s="170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0"/>
      <c r="W95" s="353" t="s">
        <v>172</v>
      </c>
      <c r="X95" s="353"/>
      <c r="Y95" s="353"/>
      <c r="Z95" s="353"/>
      <c r="AA95" s="353"/>
      <c r="AB95" s="353"/>
      <c r="AC95" s="353"/>
    </row>
    <row r="96" spans="1:29" ht="18.75" customHeight="1">
      <c r="A96" s="322" t="s">
        <v>34</v>
      </c>
      <c r="B96" s="297" t="s">
        <v>173</v>
      </c>
      <c r="C96" s="363"/>
      <c r="D96" s="299"/>
      <c r="E96" s="292" t="s">
        <v>38</v>
      </c>
      <c r="F96" s="293"/>
      <c r="G96" s="293"/>
      <c r="H96" s="293"/>
      <c r="I96" s="294"/>
      <c r="J96" s="292" t="s">
        <v>67</v>
      </c>
      <c r="K96" s="293"/>
      <c r="L96" s="293"/>
      <c r="M96" s="293"/>
      <c r="N96" s="294"/>
      <c r="O96" s="292" t="s">
        <v>191</v>
      </c>
      <c r="P96" s="293"/>
      <c r="Q96" s="293"/>
      <c r="R96" s="293"/>
      <c r="S96" s="294"/>
      <c r="T96" s="292" t="s">
        <v>97</v>
      </c>
      <c r="U96" s="293"/>
      <c r="V96" s="293"/>
      <c r="W96" s="293"/>
      <c r="X96" s="294"/>
      <c r="Y96" s="322" t="s">
        <v>39</v>
      </c>
      <c r="Z96" s="322"/>
      <c r="AA96" s="322"/>
      <c r="AB96" s="322"/>
      <c r="AC96" s="322"/>
    </row>
    <row r="97" spans="1:33">
      <c r="A97" s="322"/>
      <c r="B97" s="300"/>
      <c r="C97" s="370"/>
      <c r="D97" s="302"/>
      <c r="E97" s="290" t="s">
        <v>101</v>
      </c>
      <c r="F97" s="292" t="s">
        <v>75</v>
      </c>
      <c r="G97" s="293"/>
      <c r="H97" s="293"/>
      <c r="I97" s="294"/>
      <c r="J97" s="290" t="s">
        <v>101</v>
      </c>
      <c r="K97" s="292" t="s">
        <v>75</v>
      </c>
      <c r="L97" s="295"/>
      <c r="M97" s="295"/>
      <c r="N97" s="296"/>
      <c r="O97" s="290" t="s">
        <v>101</v>
      </c>
      <c r="P97" s="292" t="s">
        <v>75</v>
      </c>
      <c r="Q97" s="293"/>
      <c r="R97" s="293"/>
      <c r="S97" s="294"/>
      <c r="T97" s="290" t="s">
        <v>101</v>
      </c>
      <c r="U97" s="292" t="s">
        <v>75</v>
      </c>
      <c r="V97" s="293"/>
      <c r="W97" s="293"/>
      <c r="X97" s="294"/>
      <c r="Y97" s="322" t="s">
        <v>101</v>
      </c>
      <c r="Z97" s="322" t="s">
        <v>75</v>
      </c>
      <c r="AA97" s="322"/>
      <c r="AB97" s="322"/>
      <c r="AC97" s="322"/>
    </row>
    <row r="98" spans="1:33">
      <c r="A98" s="322"/>
      <c r="B98" s="303"/>
      <c r="C98" s="304"/>
      <c r="D98" s="305"/>
      <c r="E98" s="291"/>
      <c r="F98" s="260" t="s">
        <v>228</v>
      </c>
      <c r="G98" s="260" t="s">
        <v>225</v>
      </c>
      <c r="H98" s="260" t="s">
        <v>226</v>
      </c>
      <c r="I98" s="260" t="s">
        <v>227</v>
      </c>
      <c r="J98" s="291"/>
      <c r="K98" s="260" t="s">
        <v>228</v>
      </c>
      <c r="L98" s="260" t="s">
        <v>225</v>
      </c>
      <c r="M98" s="260" t="s">
        <v>226</v>
      </c>
      <c r="N98" s="260" t="s">
        <v>227</v>
      </c>
      <c r="O98" s="291"/>
      <c r="P98" s="260" t="s">
        <v>56</v>
      </c>
      <c r="Q98" s="260" t="s">
        <v>57</v>
      </c>
      <c r="R98" s="260" t="s">
        <v>55</v>
      </c>
      <c r="S98" s="260" t="s">
        <v>54</v>
      </c>
      <c r="T98" s="291"/>
      <c r="U98" s="260" t="s">
        <v>56</v>
      </c>
      <c r="V98" s="260" t="s">
        <v>57</v>
      </c>
      <c r="W98" s="260" t="s">
        <v>55</v>
      </c>
      <c r="X98" s="260" t="s">
        <v>54</v>
      </c>
      <c r="Y98" s="322"/>
      <c r="Z98" s="260" t="s">
        <v>56</v>
      </c>
      <c r="AA98" s="260" t="s">
        <v>57</v>
      </c>
      <c r="AB98" s="260" t="s">
        <v>55</v>
      </c>
      <c r="AC98" s="260" t="s">
        <v>54</v>
      </c>
    </row>
    <row r="99" spans="1:33">
      <c r="A99" s="260">
        <v>1</v>
      </c>
      <c r="B99" s="292">
        <v>2</v>
      </c>
      <c r="C99" s="293"/>
      <c r="D99" s="296"/>
      <c r="E99" s="260">
        <v>3</v>
      </c>
      <c r="F99" s="260">
        <v>4</v>
      </c>
      <c r="G99" s="260">
        <v>5</v>
      </c>
      <c r="H99" s="260">
        <v>6</v>
      </c>
      <c r="I99" s="260">
        <v>7</v>
      </c>
      <c r="J99" s="260">
        <v>8</v>
      </c>
      <c r="K99" s="260">
        <v>9</v>
      </c>
      <c r="L99" s="260">
        <v>10</v>
      </c>
      <c r="M99" s="260">
        <v>11</v>
      </c>
      <c r="N99" s="260">
        <v>12</v>
      </c>
      <c r="O99" s="260">
        <v>13</v>
      </c>
      <c r="P99" s="260">
        <v>14</v>
      </c>
      <c r="Q99" s="260">
        <v>15</v>
      </c>
      <c r="R99" s="260">
        <v>16</v>
      </c>
      <c r="S99" s="260">
        <v>17</v>
      </c>
      <c r="T99" s="260">
        <v>18</v>
      </c>
      <c r="U99" s="260">
        <v>19</v>
      </c>
      <c r="V99" s="262">
        <v>20</v>
      </c>
      <c r="W99" s="262">
        <v>21</v>
      </c>
      <c r="X99" s="262">
        <v>22</v>
      </c>
      <c r="Y99" s="262">
        <v>23</v>
      </c>
      <c r="Z99" s="262">
        <v>24</v>
      </c>
      <c r="AA99" s="262">
        <v>25</v>
      </c>
      <c r="AB99" s="262">
        <v>26</v>
      </c>
      <c r="AC99" s="262">
        <v>27</v>
      </c>
    </row>
    <row r="100" spans="1:33">
      <c r="A100" s="261">
        <v>1</v>
      </c>
      <c r="B100" s="371" t="s">
        <v>592</v>
      </c>
      <c r="C100" s="372"/>
      <c r="D100" s="326"/>
      <c r="E100" s="45"/>
      <c r="F100" s="48"/>
      <c r="G100" s="48"/>
      <c r="H100" s="261"/>
      <c r="I100" s="261"/>
      <c r="J100" s="259">
        <f>'4. Кап. інвестиції'!F8</f>
        <v>2748.3</v>
      </c>
      <c r="K100" s="259">
        <f>'4. Кап. інвестиції'!G8</f>
        <v>0</v>
      </c>
      <c r="L100" s="259">
        <f>'4. Кап. інвестиції'!H8</f>
        <v>1000</v>
      </c>
      <c r="M100" s="259">
        <f>'4. Кап. інвестиції'!I8</f>
        <v>1000</v>
      </c>
      <c r="N100" s="259">
        <f>'4. Кап. інвестиції'!J8</f>
        <v>748.3</v>
      </c>
      <c r="O100" s="259">
        <v>0</v>
      </c>
      <c r="P100" s="259">
        <v>0</v>
      </c>
      <c r="Q100" s="259">
        <v>0</v>
      </c>
      <c r="R100" s="259">
        <v>0</v>
      </c>
      <c r="S100" s="259">
        <v>0</v>
      </c>
      <c r="T100" s="259">
        <v>0</v>
      </c>
      <c r="U100" s="49">
        <v>0</v>
      </c>
      <c r="V100" s="49">
        <v>0</v>
      </c>
      <c r="W100" s="49">
        <v>0</v>
      </c>
      <c r="X100" s="49">
        <v>0</v>
      </c>
      <c r="Y100" s="259">
        <f t="shared" ref="Y100:AC104" si="17">E100+J100+O100+T100</f>
        <v>2748.3</v>
      </c>
      <c r="Z100" s="259">
        <f t="shared" ref="Z100" si="18">F100+K100+P100+U100</f>
        <v>0</v>
      </c>
      <c r="AA100" s="259">
        <f t="shared" ref="AA100" si="19">G100+L100+Q100+V100</f>
        <v>1000</v>
      </c>
      <c r="AB100" s="259">
        <f t="shared" ref="AB100" si="20">H100+M100+R100+W100</f>
        <v>1000</v>
      </c>
      <c r="AC100" s="259">
        <f t="shared" ref="AC100" si="21">I100+N100+S100+X100</f>
        <v>748.3</v>
      </c>
    </row>
    <row r="101" spans="1:33">
      <c r="A101" s="261">
        <v>2</v>
      </c>
      <c r="B101" s="371" t="s">
        <v>591</v>
      </c>
      <c r="C101" s="372"/>
      <c r="D101" s="375"/>
      <c r="E101" s="45"/>
      <c r="F101" s="48"/>
      <c r="G101" s="48"/>
      <c r="H101" s="261"/>
      <c r="I101" s="261"/>
      <c r="J101" s="259">
        <f>SUM(K101:N101)</f>
        <v>190</v>
      </c>
      <c r="K101" s="259">
        <f>'4. Кап. інвестиції'!G25+'4. Кап. інвестиції'!G26</f>
        <v>0</v>
      </c>
      <c r="L101" s="259">
        <f>'4. Кап. інвестиції'!H25+'4. Кап. інвестиції'!H26</f>
        <v>0</v>
      </c>
      <c r="M101" s="259">
        <f>'4. Кап. інвестиції'!I26+'4. Кап. інвестиції'!I25</f>
        <v>150</v>
      </c>
      <c r="N101" s="259">
        <f>'4. Кап. інвестиції'!J25</f>
        <v>40</v>
      </c>
      <c r="O101" s="259">
        <f>SUM(P101:S101)</f>
        <v>126.8</v>
      </c>
      <c r="P101" s="259">
        <f>'4. Кап. інвестиції'!G19</f>
        <v>30</v>
      </c>
      <c r="Q101" s="259">
        <f>'4. Кап. інвестиції'!H19</f>
        <v>30</v>
      </c>
      <c r="R101" s="259">
        <f>'4. Кап. інвестиції'!I27+'4. Кап. інвестиції'!I20</f>
        <v>36.799999999999997</v>
      </c>
      <c r="S101" s="259">
        <f>'4. Кап. інвестиції'!J27</f>
        <v>30</v>
      </c>
      <c r="T101" s="259">
        <v>0</v>
      </c>
      <c r="U101" s="49">
        <v>0</v>
      </c>
      <c r="V101" s="49">
        <v>0</v>
      </c>
      <c r="W101" s="49">
        <v>0</v>
      </c>
      <c r="X101" s="49">
        <v>0</v>
      </c>
      <c r="Y101" s="259">
        <f t="shared" ref="Y101:Y103" si="22">E101+J101+O101+T101</f>
        <v>316.8</v>
      </c>
      <c r="Z101" s="259">
        <f t="shared" ref="Z101:Z103" si="23">F101+K101+P101+U101</f>
        <v>30</v>
      </c>
      <c r="AA101" s="259">
        <f t="shared" ref="AA101:AA103" si="24">G101+L101+Q101+V101</f>
        <v>30</v>
      </c>
      <c r="AB101" s="259">
        <f t="shared" ref="AB101:AB103" si="25">H101+M101+R101+W101</f>
        <v>186.8</v>
      </c>
      <c r="AC101" s="259">
        <f t="shared" ref="AC101:AC103" si="26">I101+N101+S101+X101</f>
        <v>70</v>
      </c>
    </row>
    <row r="102" spans="1:33">
      <c r="A102" s="261">
        <v>3</v>
      </c>
      <c r="B102" s="371" t="s">
        <v>593</v>
      </c>
      <c r="C102" s="372"/>
      <c r="D102" s="375"/>
      <c r="E102" s="45"/>
      <c r="F102" s="48"/>
      <c r="G102" s="48"/>
      <c r="H102" s="261"/>
      <c r="I102" s="261"/>
      <c r="J102" s="259">
        <v>0</v>
      </c>
      <c r="K102" s="259">
        <v>0</v>
      </c>
      <c r="L102" s="259">
        <v>0</v>
      </c>
      <c r="M102" s="259">
        <v>0</v>
      </c>
      <c r="N102" s="259">
        <v>0</v>
      </c>
      <c r="O102" s="259">
        <f t="shared" ref="O102:O103" si="27">SUM(P102:S102)</f>
        <v>260</v>
      </c>
      <c r="P102" s="259">
        <f>'4. Кап. інвестиції'!G28</f>
        <v>65</v>
      </c>
      <c r="Q102" s="259">
        <f>'4. Кап. інвестиції'!H28</f>
        <v>65</v>
      </c>
      <c r="R102" s="259">
        <f>'4. Кап. інвестиції'!I28</f>
        <v>65</v>
      </c>
      <c r="S102" s="259">
        <f>'4. Кап. інвестиції'!J28</f>
        <v>65</v>
      </c>
      <c r="T102" s="259">
        <v>0</v>
      </c>
      <c r="U102" s="49">
        <v>0</v>
      </c>
      <c r="V102" s="49">
        <v>0</v>
      </c>
      <c r="W102" s="49">
        <v>0</v>
      </c>
      <c r="X102" s="49">
        <v>0</v>
      </c>
      <c r="Y102" s="259">
        <f t="shared" si="22"/>
        <v>260</v>
      </c>
      <c r="Z102" s="259">
        <f t="shared" si="23"/>
        <v>65</v>
      </c>
      <c r="AA102" s="259">
        <f t="shared" si="24"/>
        <v>65</v>
      </c>
      <c r="AB102" s="259">
        <f t="shared" si="25"/>
        <v>65</v>
      </c>
      <c r="AC102" s="259">
        <f t="shared" si="26"/>
        <v>65</v>
      </c>
    </row>
    <row r="103" spans="1:33">
      <c r="A103" s="261">
        <v>4</v>
      </c>
      <c r="B103" s="371" t="s">
        <v>594</v>
      </c>
      <c r="C103" s="372"/>
      <c r="D103" s="375"/>
      <c r="E103" s="45"/>
      <c r="F103" s="48"/>
      <c r="G103" s="48"/>
      <c r="H103" s="261"/>
      <c r="I103" s="261"/>
      <c r="J103" s="259">
        <v>0</v>
      </c>
      <c r="K103" s="259">
        <v>0</v>
      </c>
      <c r="L103" s="259">
        <v>0</v>
      </c>
      <c r="M103" s="259">
        <v>0</v>
      </c>
      <c r="N103" s="259">
        <v>0</v>
      </c>
      <c r="O103" s="259">
        <f t="shared" si="27"/>
        <v>100</v>
      </c>
      <c r="P103" s="259">
        <f>'4. Кап. інвестиції'!G33</f>
        <v>0</v>
      </c>
      <c r="Q103" s="259">
        <f>'4. Кап. інвестиції'!H33</f>
        <v>0</v>
      </c>
      <c r="R103" s="259">
        <f>'4. Кап. інвестиції'!I33</f>
        <v>50</v>
      </c>
      <c r="S103" s="259">
        <f>'4. Кап. інвестиції'!J33</f>
        <v>50</v>
      </c>
      <c r="T103" s="259">
        <v>0</v>
      </c>
      <c r="U103" s="49">
        <v>0</v>
      </c>
      <c r="V103" s="49">
        <v>0</v>
      </c>
      <c r="W103" s="49">
        <v>0</v>
      </c>
      <c r="X103" s="49">
        <v>0</v>
      </c>
      <c r="Y103" s="259">
        <f t="shared" si="22"/>
        <v>100</v>
      </c>
      <c r="Z103" s="259">
        <f t="shared" si="23"/>
        <v>0</v>
      </c>
      <c r="AA103" s="259">
        <f t="shared" si="24"/>
        <v>0</v>
      </c>
      <c r="AB103" s="259">
        <f t="shared" si="25"/>
        <v>50</v>
      </c>
      <c r="AC103" s="259">
        <f t="shared" si="26"/>
        <v>50</v>
      </c>
    </row>
    <row r="104" spans="1:33">
      <c r="A104" s="173" t="s">
        <v>39</v>
      </c>
      <c r="B104" s="325"/>
      <c r="C104" s="362"/>
      <c r="D104" s="326"/>
      <c r="E104" s="45"/>
      <c r="F104" s="173"/>
      <c r="G104" s="173"/>
      <c r="H104" s="261"/>
      <c r="I104" s="261"/>
      <c r="J104" s="259">
        <f>SUM(J100:J103)</f>
        <v>2938.3</v>
      </c>
      <c r="K104" s="259">
        <f t="shared" ref="K104:N104" si="28">SUM(K100:K103)</f>
        <v>0</v>
      </c>
      <c r="L104" s="259">
        <f t="shared" si="28"/>
        <v>1000</v>
      </c>
      <c r="M104" s="259">
        <f t="shared" si="28"/>
        <v>1150</v>
      </c>
      <c r="N104" s="259">
        <f t="shared" si="28"/>
        <v>788.3</v>
      </c>
      <c r="O104" s="259">
        <f>SUM(O100:O103)</f>
        <v>486.8</v>
      </c>
      <c r="P104" s="259">
        <f t="shared" ref="P104:S104" si="29">SUM(P100:P103)</f>
        <v>95</v>
      </c>
      <c r="Q104" s="259">
        <f t="shared" si="29"/>
        <v>95</v>
      </c>
      <c r="R104" s="259">
        <f t="shared" si="29"/>
        <v>151.80000000000001</v>
      </c>
      <c r="S104" s="259">
        <f t="shared" si="29"/>
        <v>145</v>
      </c>
      <c r="T104" s="259">
        <v>0</v>
      </c>
      <c r="U104" s="49">
        <v>0</v>
      </c>
      <c r="V104" s="49">
        <v>0</v>
      </c>
      <c r="W104" s="49">
        <v>0</v>
      </c>
      <c r="X104" s="49">
        <v>0</v>
      </c>
      <c r="Y104" s="259">
        <f t="shared" si="17"/>
        <v>3425.1000000000004</v>
      </c>
      <c r="Z104" s="172">
        <f t="shared" si="17"/>
        <v>95</v>
      </c>
      <c r="AA104" s="172">
        <f t="shared" si="17"/>
        <v>1095</v>
      </c>
      <c r="AB104" s="172">
        <f t="shared" si="17"/>
        <v>1301.8</v>
      </c>
      <c r="AC104" s="172">
        <f t="shared" si="17"/>
        <v>933.3</v>
      </c>
    </row>
    <row r="105" spans="1:33">
      <c r="A105" s="36" t="s">
        <v>40</v>
      </c>
      <c r="B105" s="360"/>
      <c r="C105" s="361"/>
      <c r="D105" s="326"/>
      <c r="E105" s="36"/>
      <c r="F105" s="36"/>
      <c r="G105" s="260"/>
      <c r="H105" s="174"/>
      <c r="I105" s="174"/>
      <c r="J105" s="45">
        <f>J104/Y104*100</f>
        <v>85.787276283904106</v>
      </c>
      <c r="K105" s="45">
        <f>K104/Z104*100</f>
        <v>0</v>
      </c>
      <c r="L105" s="45">
        <f t="shared" ref="L105:N105" si="30">L104/AA104*100</f>
        <v>91.324200913242009</v>
      </c>
      <c r="M105" s="45">
        <f t="shared" si="30"/>
        <v>88.339222614840992</v>
      </c>
      <c r="N105" s="45">
        <f t="shared" si="30"/>
        <v>84.463730847530272</v>
      </c>
      <c r="O105" s="45">
        <f>O104/Y104*100</f>
        <v>14.21272371609588</v>
      </c>
      <c r="P105" s="45">
        <f>P104/Z104*100</f>
        <v>100</v>
      </c>
      <c r="Q105" s="45">
        <f t="shared" ref="Q105:S105" si="31">Q104/AA104*100</f>
        <v>8.6757990867579906</v>
      </c>
      <c r="R105" s="45">
        <f t="shared" si="31"/>
        <v>11.660777385159012</v>
      </c>
      <c r="S105" s="45">
        <f t="shared" si="31"/>
        <v>15.536269152469732</v>
      </c>
      <c r="T105" s="148"/>
      <c r="U105" s="148"/>
      <c r="V105" s="148"/>
      <c r="W105" s="260"/>
      <c r="X105" s="260"/>
      <c r="Y105" s="148"/>
      <c r="Z105" s="175"/>
      <c r="AA105" s="175"/>
      <c r="AB105" s="175"/>
      <c r="AC105" s="175"/>
    </row>
    <row r="106" spans="1:33" ht="18.75" customHeight="1">
      <c r="F106" s="373"/>
      <c r="G106" s="374"/>
      <c r="H106" s="374"/>
      <c r="I106" s="374"/>
    </row>
    <row r="107" spans="1:33" ht="18.75" customHeight="1">
      <c r="F107" s="105"/>
      <c r="G107" s="176"/>
      <c r="H107" s="176"/>
      <c r="I107" s="176"/>
    </row>
    <row r="108" spans="1:33">
      <c r="A108" s="177" t="s">
        <v>595</v>
      </c>
    </row>
    <row r="109" spans="1:33">
      <c r="A109" s="177"/>
      <c r="U109" s="10" t="s">
        <v>255</v>
      </c>
    </row>
    <row r="110" spans="1:33" ht="18.75" customHeight="1">
      <c r="A110" s="335" t="s">
        <v>34</v>
      </c>
      <c r="B110" s="297" t="s">
        <v>245</v>
      </c>
      <c r="C110" s="363"/>
      <c r="D110" s="299"/>
      <c r="E110" s="290" t="s">
        <v>246</v>
      </c>
      <c r="F110" s="290" t="s">
        <v>247</v>
      </c>
      <c r="G110" s="290" t="s">
        <v>242</v>
      </c>
      <c r="H110" s="290" t="s">
        <v>243</v>
      </c>
      <c r="I110" s="292" t="s">
        <v>101</v>
      </c>
      <c r="J110" s="293"/>
      <c r="K110" s="293"/>
      <c r="L110" s="293"/>
      <c r="M110" s="294"/>
      <c r="N110" s="297" t="s">
        <v>248</v>
      </c>
      <c r="O110" s="298"/>
      <c r="P110" s="299"/>
      <c r="Q110" s="322" t="s">
        <v>249</v>
      </c>
      <c r="R110" s="322"/>
      <c r="S110" s="322"/>
      <c r="T110" s="322"/>
      <c r="U110" s="322"/>
      <c r="V110" s="322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</row>
    <row r="111" spans="1:33">
      <c r="A111" s="335"/>
      <c r="B111" s="364"/>
      <c r="C111" s="365"/>
      <c r="D111" s="302"/>
      <c r="E111" s="307"/>
      <c r="F111" s="307"/>
      <c r="G111" s="307"/>
      <c r="H111" s="307"/>
      <c r="I111" s="290" t="s">
        <v>244</v>
      </c>
      <c r="J111" s="290" t="s">
        <v>250</v>
      </c>
      <c r="K111" s="292" t="s">
        <v>254</v>
      </c>
      <c r="L111" s="295"/>
      <c r="M111" s="296"/>
      <c r="N111" s="300"/>
      <c r="O111" s="301"/>
      <c r="P111" s="302"/>
      <c r="Q111" s="322"/>
      <c r="R111" s="322"/>
      <c r="S111" s="322"/>
      <c r="T111" s="322"/>
      <c r="U111" s="322"/>
      <c r="V111" s="322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</row>
    <row r="112" spans="1:33" ht="114.75" customHeight="1">
      <c r="A112" s="335"/>
      <c r="B112" s="327"/>
      <c r="C112" s="366"/>
      <c r="D112" s="305"/>
      <c r="E112" s="291"/>
      <c r="F112" s="291"/>
      <c r="G112" s="291"/>
      <c r="H112" s="291"/>
      <c r="I112" s="291"/>
      <c r="J112" s="291"/>
      <c r="K112" s="158" t="s">
        <v>251</v>
      </c>
      <c r="L112" s="33" t="s">
        <v>252</v>
      </c>
      <c r="M112" s="33" t="s">
        <v>253</v>
      </c>
      <c r="N112" s="303"/>
      <c r="O112" s="304"/>
      <c r="P112" s="305"/>
      <c r="Q112" s="322"/>
      <c r="R112" s="322"/>
      <c r="S112" s="322"/>
      <c r="T112" s="322"/>
      <c r="U112" s="322"/>
      <c r="V112" s="322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</row>
    <row r="113" spans="1:33">
      <c r="A113" s="115">
        <v>1</v>
      </c>
      <c r="B113" s="292">
        <v>2</v>
      </c>
      <c r="C113" s="293"/>
      <c r="D113" s="296"/>
      <c r="E113" s="33">
        <v>3</v>
      </c>
      <c r="F113" s="33">
        <v>4</v>
      </c>
      <c r="G113" s="33">
        <v>5</v>
      </c>
      <c r="H113" s="33">
        <v>6</v>
      </c>
      <c r="I113" s="33">
        <v>7</v>
      </c>
      <c r="J113" s="33">
        <v>8</v>
      </c>
      <c r="K113" s="33">
        <v>9</v>
      </c>
      <c r="L113" s="33">
        <v>10</v>
      </c>
      <c r="M113" s="33">
        <v>11</v>
      </c>
      <c r="N113" s="292">
        <v>12</v>
      </c>
      <c r="O113" s="295"/>
      <c r="P113" s="296"/>
      <c r="Q113" s="292">
        <v>13</v>
      </c>
      <c r="R113" s="293"/>
      <c r="S113" s="354"/>
      <c r="T113" s="354"/>
      <c r="U113" s="354"/>
      <c r="V113" s="355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</row>
    <row r="114" spans="1:33" ht="43.5" customHeight="1">
      <c r="A114" s="32">
        <v>1</v>
      </c>
      <c r="B114" s="367" t="s">
        <v>627</v>
      </c>
      <c r="C114" s="368"/>
      <c r="D114" s="369"/>
      <c r="E114" s="32">
        <v>2018</v>
      </c>
      <c r="F114" s="259">
        <v>2748.3</v>
      </c>
      <c r="G114" s="47">
        <f>F114/1.2</f>
        <v>2290.2500000000005</v>
      </c>
      <c r="H114" s="32"/>
      <c r="I114" s="32"/>
      <c r="J114" s="32"/>
      <c r="K114" s="32"/>
      <c r="L114" s="32"/>
      <c r="M114" s="32"/>
      <c r="N114" s="316"/>
      <c r="O114" s="295"/>
      <c r="P114" s="296"/>
      <c r="Q114" s="316"/>
      <c r="R114" s="317"/>
      <c r="S114" s="295"/>
      <c r="T114" s="295"/>
      <c r="U114" s="295"/>
      <c r="V114" s="296"/>
      <c r="W114" s="178"/>
      <c r="X114" s="178"/>
      <c r="Y114" s="178"/>
      <c r="Z114" s="178"/>
      <c r="AA114" s="178"/>
      <c r="AB114" s="179"/>
      <c r="AC114" s="179"/>
      <c r="AD114" s="179"/>
      <c r="AE114" s="179"/>
      <c r="AF114" s="179"/>
      <c r="AG114" s="179"/>
    </row>
    <row r="115" spans="1:33">
      <c r="A115" s="36" t="s">
        <v>39</v>
      </c>
      <c r="B115" s="360"/>
      <c r="C115" s="361"/>
      <c r="D115" s="326"/>
      <c r="E115" s="36"/>
      <c r="F115" s="259">
        <f>SUM(F114:F114)</f>
        <v>2748.3</v>
      </c>
      <c r="G115" s="47">
        <f>SUM(G114:G114)</f>
        <v>2290.2500000000005</v>
      </c>
      <c r="H115" s="33"/>
      <c r="I115" s="33"/>
      <c r="J115" s="33"/>
      <c r="K115" s="33"/>
      <c r="L115" s="33"/>
      <c r="M115" s="33"/>
      <c r="N115" s="292"/>
      <c r="O115" s="295"/>
      <c r="P115" s="296"/>
      <c r="Q115" s="292"/>
      <c r="R115" s="293"/>
      <c r="S115" s="295"/>
      <c r="T115" s="295"/>
      <c r="U115" s="295"/>
      <c r="V115" s="296"/>
      <c r="W115" s="178"/>
      <c r="X115" s="178"/>
      <c r="Y115" s="178"/>
      <c r="Z115" s="178"/>
      <c r="AA115" s="178"/>
      <c r="AB115" s="179"/>
      <c r="AC115" s="179"/>
      <c r="AD115" s="179"/>
      <c r="AE115" s="179"/>
      <c r="AF115" s="179"/>
      <c r="AG115" s="179"/>
    </row>
    <row r="118" spans="1:33" s="122" customFormat="1" ht="19.5" customHeight="1">
      <c r="A118" s="133" t="s">
        <v>508</v>
      </c>
      <c r="B118" s="180"/>
      <c r="C118" s="180"/>
      <c r="D118" s="311" t="s">
        <v>81</v>
      </c>
      <c r="E118" s="311"/>
      <c r="F118" s="312"/>
      <c r="G118" s="181"/>
      <c r="H118" s="306" t="s">
        <v>520</v>
      </c>
      <c r="I118" s="306"/>
      <c r="J118" s="306"/>
    </row>
    <row r="119" spans="1:33" ht="15.75" customHeight="1">
      <c r="A119" s="136" t="s">
        <v>59</v>
      </c>
      <c r="B119" s="105"/>
      <c r="C119" s="105"/>
      <c r="D119" s="289" t="s">
        <v>60</v>
      </c>
      <c r="E119" s="289"/>
      <c r="F119" s="289"/>
      <c r="G119" s="182"/>
      <c r="H119" s="289" t="s">
        <v>78</v>
      </c>
      <c r="I119" s="289"/>
      <c r="J119" s="289"/>
    </row>
  </sheetData>
  <mergeCells count="178">
    <mergeCell ref="D119:F119"/>
    <mergeCell ref="B115:D115"/>
    <mergeCell ref="B104:D104"/>
    <mergeCell ref="B105:D105"/>
    <mergeCell ref="B110:D112"/>
    <mergeCell ref="B113:D113"/>
    <mergeCell ref="B114:D114"/>
    <mergeCell ref="B96:D98"/>
    <mergeCell ref="B99:D99"/>
    <mergeCell ref="B100:D100"/>
    <mergeCell ref="F106:I106"/>
    <mergeCell ref="B101:D101"/>
    <mergeCell ref="B102:D102"/>
    <mergeCell ref="B103:D103"/>
    <mergeCell ref="B59:D59"/>
    <mergeCell ref="B60:D60"/>
    <mergeCell ref="B61:D61"/>
    <mergeCell ref="B62:D62"/>
    <mergeCell ref="Q110:V112"/>
    <mergeCell ref="F67:G67"/>
    <mergeCell ref="G76:G77"/>
    <mergeCell ref="F37:G37"/>
    <mergeCell ref="H37:I37"/>
    <mergeCell ref="J37:K37"/>
    <mergeCell ref="B87:D87"/>
    <mergeCell ref="B88:D88"/>
    <mergeCell ref="B89:D89"/>
    <mergeCell ref="B76:D77"/>
    <mergeCell ref="B64:D64"/>
    <mergeCell ref="B68:D68"/>
    <mergeCell ref="B69:D69"/>
    <mergeCell ref="Q113:V113"/>
    <mergeCell ref="B67:D67"/>
    <mergeCell ref="B78:D78"/>
    <mergeCell ref="B79:D79"/>
    <mergeCell ref="I53:J53"/>
    <mergeCell ref="I54:J54"/>
    <mergeCell ref="H58:J58"/>
    <mergeCell ref="H59:J59"/>
    <mergeCell ref="H60:J60"/>
    <mergeCell ref="H61:J61"/>
    <mergeCell ref="H68:J68"/>
    <mergeCell ref="H69:J69"/>
    <mergeCell ref="F68:G68"/>
    <mergeCell ref="F69:G69"/>
    <mergeCell ref="F58:G58"/>
    <mergeCell ref="F60:G60"/>
    <mergeCell ref="F59:G59"/>
    <mergeCell ref="F61:G61"/>
    <mergeCell ref="H65:J65"/>
    <mergeCell ref="H66:J66"/>
    <mergeCell ref="H67:J67"/>
    <mergeCell ref="H62:J62"/>
    <mergeCell ref="H64:J64"/>
    <mergeCell ref="H63:J63"/>
    <mergeCell ref="Q115:V115"/>
    <mergeCell ref="A110:A112"/>
    <mergeCell ref="A74:K74"/>
    <mergeCell ref="A96:A98"/>
    <mergeCell ref="A82:I82"/>
    <mergeCell ref="A94:G94"/>
    <mergeCell ref="A76:A77"/>
    <mergeCell ref="A84:A86"/>
    <mergeCell ref="E84:E86"/>
    <mergeCell ref="F84:F86"/>
    <mergeCell ref="E76:E77"/>
    <mergeCell ref="B80:D80"/>
    <mergeCell ref="B84:D86"/>
    <mergeCell ref="F76:F77"/>
    <mergeCell ref="T96:X96"/>
    <mergeCell ref="N114:P114"/>
    <mergeCell ref="E110:E112"/>
    <mergeCell ref="F110:F112"/>
    <mergeCell ref="W95:AC95"/>
    <mergeCell ref="Y96:AC96"/>
    <mergeCell ref="Q114:V114"/>
    <mergeCell ref="E97:E98"/>
    <mergeCell ref="O96:S96"/>
    <mergeCell ref="Z97:AC97"/>
    <mergeCell ref="Y97:Y98"/>
    <mergeCell ref="P97:S97"/>
    <mergeCell ref="T97:T98"/>
    <mergeCell ref="U97:X97"/>
    <mergeCell ref="K97:N97"/>
    <mergeCell ref="I85:L85"/>
    <mergeCell ref="H76:L76"/>
    <mergeCell ref="H7:I7"/>
    <mergeCell ref="H8:I8"/>
    <mergeCell ref="H31:I31"/>
    <mergeCell ref="H30:I30"/>
    <mergeCell ref="H10:I14"/>
    <mergeCell ref="H24:I24"/>
    <mergeCell ref="H27:I27"/>
    <mergeCell ref="H84:L84"/>
    <mergeCell ref="H85:H86"/>
    <mergeCell ref="A1:I1"/>
    <mergeCell ref="F12:G12"/>
    <mergeCell ref="F11:G11"/>
    <mergeCell ref="F21:G21"/>
    <mergeCell ref="F19:G19"/>
    <mergeCell ref="H17:I17"/>
    <mergeCell ref="H21:I21"/>
    <mergeCell ref="F10:G10"/>
    <mergeCell ref="F7:G7"/>
    <mergeCell ref="F8:G8"/>
    <mergeCell ref="H18:I18"/>
    <mergeCell ref="H19:I19"/>
    <mergeCell ref="F18:G18"/>
    <mergeCell ref="F9:G9"/>
    <mergeCell ref="H16:I16"/>
    <mergeCell ref="F17:G17"/>
    <mergeCell ref="A2:I2"/>
    <mergeCell ref="A4:I4"/>
    <mergeCell ref="A3:I3"/>
    <mergeCell ref="H15:I15"/>
    <mergeCell ref="H9:I9"/>
    <mergeCell ref="A37:A38"/>
    <mergeCell ref="F13:G13"/>
    <mergeCell ref="F22:G22"/>
    <mergeCell ref="F14:G14"/>
    <mergeCell ref="F15:G15"/>
    <mergeCell ref="F16:G16"/>
    <mergeCell ref="F20:G20"/>
    <mergeCell ref="H20:I20"/>
    <mergeCell ref="F27:G27"/>
    <mergeCell ref="F28:G28"/>
    <mergeCell ref="F31:G31"/>
    <mergeCell ref="F29:G29"/>
    <mergeCell ref="F30:G30"/>
    <mergeCell ref="F23:G23"/>
    <mergeCell ref="H22:I22"/>
    <mergeCell ref="H26:I26"/>
    <mergeCell ref="H28:I28"/>
    <mergeCell ref="H29:I29"/>
    <mergeCell ref="H23:I23"/>
    <mergeCell ref="H25:I25"/>
    <mergeCell ref="B37:C37"/>
    <mergeCell ref="D37:E37"/>
    <mergeCell ref="F26:G26"/>
    <mergeCell ref="F25:G25"/>
    <mergeCell ref="F24:G24"/>
    <mergeCell ref="F66:G66"/>
    <mergeCell ref="F65:G65"/>
    <mergeCell ref="D118:F118"/>
    <mergeCell ref="B52:D52"/>
    <mergeCell ref="I51:J51"/>
    <mergeCell ref="I52:J52"/>
    <mergeCell ref="F63:G63"/>
    <mergeCell ref="F62:G62"/>
    <mergeCell ref="B66:D66"/>
    <mergeCell ref="B53:D53"/>
    <mergeCell ref="B54:D54"/>
    <mergeCell ref="B63:D63"/>
    <mergeCell ref="B51:D51"/>
    <mergeCell ref="C33:F33"/>
    <mergeCell ref="C46:F46"/>
    <mergeCell ref="C71:F71"/>
    <mergeCell ref="C91:F91"/>
    <mergeCell ref="F64:G64"/>
    <mergeCell ref="F97:I97"/>
    <mergeCell ref="E96:I96"/>
    <mergeCell ref="G84:G86"/>
    <mergeCell ref="B65:D65"/>
    <mergeCell ref="B58:D58"/>
    <mergeCell ref="H119:J119"/>
    <mergeCell ref="J97:J98"/>
    <mergeCell ref="J96:N96"/>
    <mergeCell ref="K111:M111"/>
    <mergeCell ref="N110:P112"/>
    <mergeCell ref="N113:P113"/>
    <mergeCell ref="O97:O98"/>
    <mergeCell ref="H118:J118"/>
    <mergeCell ref="G110:G112"/>
    <mergeCell ref="H110:H112"/>
    <mergeCell ref="N115:P115"/>
    <mergeCell ref="I111:I112"/>
    <mergeCell ref="J111:J112"/>
    <mergeCell ref="I110:M110"/>
  </mergeCells>
  <phoneticPr fontId="3" type="noConversion"/>
  <pageMargins left="0.70866141732283472" right="0.19685039370078741" top="0.59055118110236227" bottom="0.59055118110236227" header="0.27559055118110237" footer="0.15748031496062992"/>
  <pageSetup paperSize="9" scale="49" firstPageNumber="9" fitToHeight="0" orientation="landscape" useFirstPageNumber="1" r:id="rId1"/>
  <headerFooter alignWithMargins="0">
    <oddHeader>&amp;R&amp;"Times New Roman,обычный"&amp;14Таблиця 5</oddHeader>
    <oddFooter>&amp;C&amp;P</oddFooter>
  </headerFooter>
  <rowBreaks count="3" manualBreakCount="3">
    <brk id="34" max="16383" man="1"/>
    <brk id="73" max="28" man="1"/>
    <brk id="93" max="28" man="1"/>
  </rowBreaks>
  <colBreaks count="1" manualBreakCount="1">
    <brk id="12" max="119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8:J55"/>
  <sheetViews>
    <sheetView topLeftCell="A24" workbookViewId="0">
      <selection activeCell="B39" sqref="B39"/>
    </sheetView>
  </sheetViews>
  <sheetFormatPr defaultRowHeight="15"/>
  <cols>
    <col min="1" max="1" width="4.140625" customWidth="1"/>
    <col min="2" max="2" width="24.85546875" style="56" customWidth="1"/>
    <col min="3" max="3" width="21.85546875" style="56" customWidth="1"/>
    <col min="4" max="4" width="22.5703125" style="56" customWidth="1"/>
    <col min="5" max="5" width="19.140625" style="56" customWidth="1"/>
    <col min="6" max="6" width="30.5703125" style="56" customWidth="1"/>
    <col min="7" max="7" width="15" style="56" customWidth="1"/>
  </cols>
  <sheetData>
    <row r="8" spans="2:7" ht="31.5">
      <c r="B8" s="57" t="s">
        <v>262</v>
      </c>
      <c r="C8" s="33" t="s">
        <v>199</v>
      </c>
      <c r="D8" s="33" t="s">
        <v>200</v>
      </c>
      <c r="E8" s="33" t="s">
        <v>201</v>
      </c>
      <c r="F8" s="33" t="s">
        <v>202</v>
      </c>
      <c r="G8" s="33" t="s">
        <v>203</v>
      </c>
    </row>
    <row r="9" spans="2:7">
      <c r="B9" s="58" t="s">
        <v>263</v>
      </c>
      <c r="C9" s="58" t="s">
        <v>270</v>
      </c>
      <c r="D9" s="58" t="s">
        <v>274</v>
      </c>
      <c r="E9" s="58" t="s">
        <v>277</v>
      </c>
      <c r="F9" s="58" t="s">
        <v>278</v>
      </c>
      <c r="G9" s="58"/>
    </row>
    <row r="10" spans="2:7">
      <c r="B10" s="58" t="s">
        <v>264</v>
      </c>
      <c r="C10" s="58" t="s">
        <v>271</v>
      </c>
      <c r="D10" s="58" t="s">
        <v>275</v>
      </c>
      <c r="E10" s="58" t="s">
        <v>279</v>
      </c>
      <c r="F10" s="58" t="s">
        <v>281</v>
      </c>
      <c r="G10" s="58"/>
    </row>
    <row r="11" spans="2:7">
      <c r="B11" s="58" t="s">
        <v>265</v>
      </c>
      <c r="C11" s="58" t="s">
        <v>272</v>
      </c>
      <c r="D11" s="58" t="s">
        <v>280</v>
      </c>
      <c r="E11" s="58" t="s">
        <v>279</v>
      </c>
      <c r="F11" s="58" t="s">
        <v>282</v>
      </c>
      <c r="G11" s="58"/>
    </row>
    <row r="12" spans="2:7">
      <c r="B12" s="58" t="s">
        <v>266</v>
      </c>
      <c r="C12" s="58" t="s">
        <v>273</v>
      </c>
      <c r="D12" s="58"/>
      <c r="E12" s="58" t="s">
        <v>283</v>
      </c>
      <c r="F12" s="58" t="s">
        <v>294</v>
      </c>
      <c r="G12" s="58"/>
    </row>
    <row r="13" spans="2:7">
      <c r="B13" s="58" t="s">
        <v>267</v>
      </c>
      <c r="C13" s="58" t="s">
        <v>276</v>
      </c>
      <c r="D13" s="58"/>
      <c r="E13" s="58" t="s">
        <v>284</v>
      </c>
      <c r="F13" s="58" t="s">
        <v>285</v>
      </c>
      <c r="G13" s="58"/>
    </row>
    <row r="14" spans="2:7">
      <c r="B14" s="58" t="s">
        <v>268</v>
      </c>
      <c r="C14" s="58"/>
      <c r="D14" s="58"/>
      <c r="E14" s="58"/>
      <c r="F14" s="58" t="s">
        <v>286</v>
      </c>
      <c r="G14" s="58"/>
    </row>
    <row r="15" spans="2:7">
      <c r="B15" s="58" t="s">
        <v>269</v>
      </c>
      <c r="C15" s="58"/>
      <c r="D15" s="58"/>
      <c r="E15" s="58"/>
      <c r="F15" s="58" t="s">
        <v>287</v>
      </c>
      <c r="G15" s="58"/>
    </row>
    <row r="16" spans="2:7">
      <c r="B16" s="58"/>
      <c r="C16" s="58"/>
      <c r="D16" s="58"/>
      <c r="E16" s="58"/>
      <c r="F16" s="58" t="s">
        <v>288</v>
      </c>
      <c r="G16" s="58"/>
    </row>
    <row r="17" spans="1:10">
      <c r="B17" s="58"/>
      <c r="C17" s="58"/>
      <c r="D17" s="58"/>
      <c r="E17" s="58"/>
      <c r="F17" s="58" t="s">
        <v>289</v>
      </c>
      <c r="G17" s="58"/>
    </row>
    <row r="18" spans="1:10">
      <c r="B18" s="58"/>
      <c r="C18" s="58"/>
      <c r="D18" s="58"/>
      <c r="E18" s="58"/>
      <c r="F18" s="58" t="s">
        <v>290</v>
      </c>
      <c r="G18" s="58"/>
    </row>
    <row r="19" spans="1:10">
      <c r="B19" s="58"/>
      <c r="C19" s="58"/>
      <c r="D19" s="58"/>
      <c r="E19" s="58"/>
      <c r="F19" s="58" t="s">
        <v>291</v>
      </c>
      <c r="G19" s="58"/>
    </row>
    <row r="20" spans="1:10">
      <c r="B20" s="58"/>
      <c r="C20" s="58"/>
      <c r="D20" s="58"/>
      <c r="E20" s="58"/>
      <c r="F20" s="58" t="s">
        <v>292</v>
      </c>
      <c r="G20" s="58"/>
    </row>
    <row r="21" spans="1:10">
      <c r="B21" s="59">
        <v>7</v>
      </c>
      <c r="C21" s="59">
        <v>5</v>
      </c>
      <c r="D21" s="59">
        <v>3</v>
      </c>
      <c r="E21" s="59">
        <v>9</v>
      </c>
      <c r="F21" s="59">
        <v>29</v>
      </c>
      <c r="G21" s="59"/>
    </row>
    <row r="24" spans="1:10">
      <c r="B24" s="56" t="s">
        <v>293</v>
      </c>
      <c r="C24" s="56">
        <f>B21+C21+D21+E21+F21</f>
        <v>53</v>
      </c>
    </row>
    <row r="27" spans="1:10" ht="39" customHeight="1">
      <c r="A27" s="60"/>
      <c r="B27" s="382" t="str">
        <f>'5. Інша інформація'!A16</f>
        <v>Фонд оплати праці, тис. гривень, у тому числі:</v>
      </c>
      <c r="C27" s="382"/>
      <c r="D27" s="63" t="s">
        <v>445</v>
      </c>
      <c r="E27" s="383" t="s">
        <v>310</v>
      </c>
      <c r="F27" s="383"/>
      <c r="G27" s="383"/>
      <c r="H27" s="383"/>
      <c r="I27" s="383"/>
      <c r="J27" s="383"/>
    </row>
    <row r="28" spans="1:10" ht="15.75">
      <c r="A28" s="60">
        <v>1</v>
      </c>
      <c r="B28" s="58" t="s">
        <v>295</v>
      </c>
      <c r="C28" s="58">
        <v>16196.53</v>
      </c>
      <c r="D28" s="58"/>
      <c r="E28" s="384" t="s">
        <v>311</v>
      </c>
      <c r="F28" s="384"/>
      <c r="G28" s="384"/>
      <c r="H28" s="384"/>
      <c r="I28" s="384"/>
      <c r="J28" s="384"/>
    </row>
    <row r="29" spans="1:10">
      <c r="A29" s="60">
        <v>2</v>
      </c>
      <c r="B29" s="70" t="s">
        <v>296</v>
      </c>
      <c r="C29" s="58">
        <v>84246.02</v>
      </c>
      <c r="D29" s="58">
        <v>119.3</v>
      </c>
      <c r="E29" s="56" t="s">
        <v>312</v>
      </c>
      <c r="F29" s="56" t="s">
        <v>313</v>
      </c>
      <c r="G29" s="56" t="s">
        <v>314</v>
      </c>
      <c r="H29" t="s">
        <v>315</v>
      </c>
      <c r="I29" t="s">
        <v>316</v>
      </c>
      <c r="J29" t="s">
        <v>317</v>
      </c>
    </row>
    <row r="30" spans="1:10">
      <c r="A30" s="60">
        <v>3</v>
      </c>
      <c r="B30" s="58" t="s">
        <v>297</v>
      </c>
      <c r="C30" s="58">
        <v>19093.79</v>
      </c>
      <c r="D30" s="58">
        <v>87.9</v>
      </c>
      <c r="E30" s="56" t="s">
        <v>318</v>
      </c>
      <c r="F30" s="56" t="s">
        <v>319</v>
      </c>
      <c r="G30" s="56">
        <v>8559</v>
      </c>
      <c r="H30" t="s">
        <v>320</v>
      </c>
      <c r="I30" t="s">
        <v>321</v>
      </c>
      <c r="J30" t="s">
        <v>322</v>
      </c>
    </row>
    <row r="31" spans="1:10">
      <c r="A31" s="60">
        <v>4</v>
      </c>
      <c r="B31" s="70" t="s">
        <v>298</v>
      </c>
      <c r="C31" s="58">
        <v>74733.27</v>
      </c>
      <c r="D31" s="58">
        <v>78</v>
      </c>
      <c r="E31" s="56" t="s">
        <v>323</v>
      </c>
      <c r="F31" s="56" t="s">
        <v>324</v>
      </c>
      <c r="G31" s="56" t="s">
        <v>325</v>
      </c>
      <c r="H31" t="s">
        <v>305</v>
      </c>
      <c r="I31" t="s">
        <v>326</v>
      </c>
      <c r="J31" t="s">
        <v>327</v>
      </c>
    </row>
    <row r="32" spans="1:10">
      <c r="A32" s="60">
        <v>5</v>
      </c>
      <c r="B32" s="70" t="s">
        <v>299</v>
      </c>
      <c r="C32" s="58">
        <v>68888.13</v>
      </c>
      <c r="D32" s="58">
        <v>90.6</v>
      </c>
      <c r="E32" s="56" t="s">
        <v>328</v>
      </c>
      <c r="F32" s="56" t="s">
        <v>329</v>
      </c>
      <c r="G32" s="56">
        <v>1267</v>
      </c>
      <c r="H32" t="s">
        <v>305</v>
      </c>
      <c r="I32" t="s">
        <v>330</v>
      </c>
      <c r="J32" t="s">
        <v>331</v>
      </c>
    </row>
    <row r="33" spans="1:10">
      <c r="A33" s="60">
        <v>6</v>
      </c>
      <c r="B33" s="70" t="s">
        <v>300</v>
      </c>
      <c r="C33" s="58">
        <v>85189.74</v>
      </c>
      <c r="D33" s="58">
        <v>112.2</v>
      </c>
      <c r="E33" s="56" t="s">
        <v>332</v>
      </c>
      <c r="F33" s="56" t="s">
        <v>333</v>
      </c>
      <c r="G33" s="56" t="s">
        <v>325</v>
      </c>
      <c r="H33" t="s">
        <v>334</v>
      </c>
      <c r="I33" t="s">
        <v>335</v>
      </c>
      <c r="J33" t="s">
        <v>336</v>
      </c>
    </row>
    <row r="34" spans="1:10">
      <c r="A34" s="60">
        <v>7</v>
      </c>
      <c r="B34" s="70" t="s">
        <v>301</v>
      </c>
      <c r="C34" s="58">
        <v>107658.27</v>
      </c>
      <c r="D34" s="58">
        <v>126.8</v>
      </c>
      <c r="E34" s="56" t="s">
        <v>337</v>
      </c>
      <c r="F34" s="56" t="s">
        <v>338</v>
      </c>
      <c r="G34" s="56" t="s">
        <v>325</v>
      </c>
      <c r="H34" t="s">
        <v>305</v>
      </c>
      <c r="I34" t="s">
        <v>339</v>
      </c>
      <c r="J34" t="s">
        <v>340</v>
      </c>
    </row>
    <row r="35" spans="1:10">
      <c r="A35" s="60">
        <v>8</v>
      </c>
      <c r="B35" s="70" t="s">
        <v>302</v>
      </c>
      <c r="C35" s="58">
        <v>74289.87</v>
      </c>
      <c r="D35" s="58">
        <v>87.4</v>
      </c>
      <c r="E35" s="56" t="s">
        <v>341</v>
      </c>
      <c r="F35" s="56" t="s">
        <v>342</v>
      </c>
      <c r="G35" s="56" t="s">
        <v>325</v>
      </c>
      <c r="H35" t="s">
        <v>305</v>
      </c>
      <c r="I35" t="s">
        <v>343</v>
      </c>
      <c r="J35" t="s">
        <v>344</v>
      </c>
    </row>
    <row r="36" spans="1:10">
      <c r="A36" s="60">
        <v>9</v>
      </c>
      <c r="B36" s="58" t="s">
        <v>303</v>
      </c>
      <c r="C36" s="58">
        <v>65801.42</v>
      </c>
      <c r="D36" s="58">
        <v>79.599999999999994</v>
      </c>
      <c r="E36" s="56" t="s">
        <v>345</v>
      </c>
      <c r="F36" s="56" t="s">
        <v>346</v>
      </c>
      <c r="G36" s="56" t="s">
        <v>325</v>
      </c>
      <c r="H36" t="s">
        <v>347</v>
      </c>
      <c r="I36" t="s">
        <v>348</v>
      </c>
      <c r="J36" t="s">
        <v>349</v>
      </c>
    </row>
    <row r="37" spans="1:10">
      <c r="A37" s="60">
        <v>10</v>
      </c>
      <c r="B37" s="58" t="s">
        <v>304</v>
      </c>
      <c r="C37" s="58">
        <v>79825.7</v>
      </c>
      <c r="D37" s="58">
        <v>100</v>
      </c>
      <c r="E37" s="56" t="s">
        <v>350</v>
      </c>
      <c r="F37" s="56" t="s">
        <v>351</v>
      </c>
      <c r="G37" s="56" t="s">
        <v>325</v>
      </c>
      <c r="H37" t="s">
        <v>305</v>
      </c>
      <c r="I37" t="s">
        <v>352</v>
      </c>
      <c r="J37" t="s">
        <v>325</v>
      </c>
    </row>
    <row r="38" spans="1:10">
      <c r="A38" s="60">
        <v>11</v>
      </c>
      <c r="B38" s="58" t="s">
        <v>306</v>
      </c>
      <c r="C38" s="58">
        <v>33262.07</v>
      </c>
      <c r="D38" s="58">
        <v>43.3</v>
      </c>
      <c r="E38" s="56" t="s">
        <v>353</v>
      </c>
      <c r="F38" s="56" t="s">
        <v>325</v>
      </c>
      <c r="G38" s="56" t="s">
        <v>325</v>
      </c>
      <c r="H38" t="s">
        <v>305</v>
      </c>
      <c r="I38" t="s">
        <v>325</v>
      </c>
      <c r="J38" t="s">
        <v>325</v>
      </c>
    </row>
    <row r="39" spans="1:10">
      <c r="A39" s="60">
        <v>12</v>
      </c>
      <c r="B39" s="58" t="s">
        <v>307</v>
      </c>
      <c r="C39" s="58">
        <v>59360.93</v>
      </c>
      <c r="D39" s="58">
        <v>67.599999999999994</v>
      </c>
      <c r="E39" s="56" t="s">
        <v>354</v>
      </c>
      <c r="F39" s="56" t="s">
        <v>355</v>
      </c>
      <c r="G39" s="56" t="s">
        <v>325</v>
      </c>
      <c r="H39" t="s">
        <v>305</v>
      </c>
      <c r="I39" t="s">
        <v>325</v>
      </c>
      <c r="J39" t="s">
        <v>325</v>
      </c>
    </row>
    <row r="40" spans="1:10" ht="15.75">
      <c r="A40" s="60">
        <v>13</v>
      </c>
      <c r="B40" s="58" t="s">
        <v>308</v>
      </c>
      <c r="C40" s="58">
        <f>SUM(C28:C39)</f>
        <v>768545.74</v>
      </c>
      <c r="D40" s="64">
        <f>SUM(D28:D39)</f>
        <v>992.69999999999993</v>
      </c>
      <c r="E40" s="56" t="s">
        <v>356</v>
      </c>
      <c r="F40" s="56" t="s">
        <v>357</v>
      </c>
      <c r="G40" s="56" t="s">
        <v>325</v>
      </c>
      <c r="H40" t="s">
        <v>358</v>
      </c>
      <c r="I40" t="s">
        <v>325</v>
      </c>
      <c r="J40" t="s">
        <v>325</v>
      </c>
    </row>
    <row r="41" spans="1:10">
      <c r="A41" s="60">
        <v>14</v>
      </c>
      <c r="B41" s="58" t="s">
        <v>309</v>
      </c>
      <c r="C41" s="58">
        <f>C40/9*12</f>
        <v>1024727.6533333333</v>
      </c>
      <c r="D41" s="58"/>
      <c r="E41" s="56" t="s">
        <v>359</v>
      </c>
      <c r="F41" s="56" t="s">
        <v>360</v>
      </c>
      <c r="G41" s="56">
        <v>53</v>
      </c>
      <c r="H41" t="s">
        <v>361</v>
      </c>
      <c r="I41" t="s">
        <v>325</v>
      </c>
      <c r="J41" t="s">
        <v>325</v>
      </c>
    </row>
    <row r="42" spans="1:10">
      <c r="E42" s="56" t="s">
        <v>362</v>
      </c>
      <c r="F42" s="56" t="s">
        <v>363</v>
      </c>
      <c r="G42" s="56" t="s">
        <v>325</v>
      </c>
      <c r="H42" t="s">
        <v>305</v>
      </c>
      <c r="I42" t="s">
        <v>325</v>
      </c>
      <c r="J42" t="s">
        <v>325</v>
      </c>
    </row>
    <row r="43" spans="1:10">
      <c r="E43" s="56" t="s">
        <v>364</v>
      </c>
      <c r="F43" s="56" t="s">
        <v>365</v>
      </c>
      <c r="G43" s="56" t="s">
        <v>325</v>
      </c>
      <c r="H43" t="s">
        <v>305</v>
      </c>
      <c r="I43" t="s">
        <v>325</v>
      </c>
      <c r="J43" t="s">
        <v>325</v>
      </c>
    </row>
    <row r="44" spans="1:10">
      <c r="E44" s="56" t="s">
        <v>366</v>
      </c>
      <c r="F44" s="56" t="s">
        <v>367</v>
      </c>
      <c r="G44" s="56" t="s">
        <v>325</v>
      </c>
      <c r="H44" t="s">
        <v>368</v>
      </c>
      <c r="I44" t="s">
        <v>325</v>
      </c>
      <c r="J44" t="s">
        <v>325</v>
      </c>
    </row>
    <row r="45" spans="1:10">
      <c r="E45" s="56" t="s">
        <v>369</v>
      </c>
      <c r="F45" s="56" t="s">
        <v>370</v>
      </c>
      <c r="G45" s="56" t="s">
        <v>325</v>
      </c>
      <c r="H45" t="s">
        <v>371</v>
      </c>
      <c r="I45" t="s">
        <v>325</v>
      </c>
      <c r="J45" t="s">
        <v>325</v>
      </c>
    </row>
    <row r="46" spans="1:10">
      <c r="E46" s="56" t="s">
        <v>350</v>
      </c>
      <c r="F46" s="56" t="s">
        <v>372</v>
      </c>
      <c r="G46" s="56" t="s">
        <v>325</v>
      </c>
      <c r="H46" t="s">
        <v>305</v>
      </c>
      <c r="I46" t="s">
        <v>325</v>
      </c>
      <c r="J46" t="s">
        <v>325</v>
      </c>
    </row>
    <row r="47" spans="1:10">
      <c r="E47" s="56" t="s">
        <v>373</v>
      </c>
      <c r="F47" s="56" t="s">
        <v>374</v>
      </c>
      <c r="G47" s="56">
        <v>4</v>
      </c>
      <c r="H47" t="s">
        <v>305</v>
      </c>
      <c r="I47" t="s">
        <v>325</v>
      </c>
      <c r="J47" t="s">
        <v>325</v>
      </c>
    </row>
    <row r="48" spans="1:10">
      <c r="E48" s="56" t="s">
        <v>375</v>
      </c>
      <c r="F48" s="56" t="s">
        <v>325</v>
      </c>
      <c r="G48" s="56">
        <v>3</v>
      </c>
      <c r="H48" t="s">
        <v>305</v>
      </c>
      <c r="I48" t="s">
        <v>325</v>
      </c>
      <c r="J48" t="s">
        <v>325</v>
      </c>
    </row>
    <row r="49" spans="5:10">
      <c r="E49" s="56" t="s">
        <v>376</v>
      </c>
      <c r="F49" s="56" t="s">
        <v>377</v>
      </c>
      <c r="G49" s="56" t="s">
        <v>325</v>
      </c>
      <c r="H49" t="s">
        <v>305</v>
      </c>
      <c r="I49" t="s">
        <v>325</v>
      </c>
      <c r="J49" t="s">
        <v>325</v>
      </c>
    </row>
    <row r="50" spans="5:10">
      <c r="E50" s="56" t="s">
        <v>378</v>
      </c>
      <c r="F50" s="56" t="s">
        <v>379</v>
      </c>
      <c r="G50" s="56">
        <v>21</v>
      </c>
      <c r="H50" t="s">
        <v>305</v>
      </c>
      <c r="I50" t="s">
        <v>325</v>
      </c>
      <c r="J50" t="s">
        <v>325</v>
      </c>
    </row>
    <row r="51" spans="5:10">
      <c r="E51" s="56" t="s">
        <v>380</v>
      </c>
      <c r="F51" s="56" t="s">
        <v>381</v>
      </c>
      <c r="G51" s="56">
        <v>17</v>
      </c>
      <c r="H51" t="s">
        <v>305</v>
      </c>
      <c r="I51" t="s">
        <v>325</v>
      </c>
      <c r="J51" t="s">
        <v>325</v>
      </c>
    </row>
    <row r="52" spans="5:10">
      <c r="E52" s="56" t="s">
        <v>382</v>
      </c>
      <c r="F52" s="56" t="s">
        <v>383</v>
      </c>
      <c r="G52" s="56">
        <v>78</v>
      </c>
      <c r="H52" t="s">
        <v>305</v>
      </c>
      <c r="I52" t="s">
        <v>325</v>
      </c>
      <c r="J52" t="s">
        <v>325</v>
      </c>
    </row>
    <row r="53" spans="5:10">
      <c r="E53" s="56" t="s">
        <v>384</v>
      </c>
      <c r="F53" s="56" t="s">
        <v>385</v>
      </c>
      <c r="G53" s="56" t="s">
        <v>325</v>
      </c>
      <c r="H53" t="s">
        <v>305</v>
      </c>
      <c r="I53" t="s">
        <v>325</v>
      </c>
      <c r="J53" t="s">
        <v>325</v>
      </c>
    </row>
    <row r="54" spans="5:10">
      <c r="E54" s="56" t="s">
        <v>386</v>
      </c>
      <c r="F54" s="56" t="s">
        <v>387</v>
      </c>
      <c r="G54" s="56" t="s">
        <v>325</v>
      </c>
      <c r="H54" t="s">
        <v>305</v>
      </c>
      <c r="I54" t="s">
        <v>325</v>
      </c>
      <c r="J54" t="s">
        <v>325</v>
      </c>
    </row>
    <row r="55" spans="5:10">
      <c r="E55" s="56" t="s">
        <v>388</v>
      </c>
      <c r="F55" s="56">
        <v>2282050.7000000002</v>
      </c>
      <c r="G55" s="56">
        <v>10002</v>
      </c>
      <c r="H55" t="s">
        <v>389</v>
      </c>
      <c r="I55" t="s">
        <v>390</v>
      </c>
      <c r="J55" t="s">
        <v>391</v>
      </c>
    </row>
  </sheetData>
  <mergeCells count="3">
    <mergeCell ref="B27:C27"/>
    <mergeCell ref="E27:J27"/>
    <mergeCell ref="E28:J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5:M21"/>
  <sheetViews>
    <sheetView view="pageBreakPreview" zoomScale="60" zoomScaleNormal="100" workbookViewId="0">
      <selection activeCell="G7" sqref="G7"/>
    </sheetView>
  </sheetViews>
  <sheetFormatPr defaultRowHeight="12.75"/>
  <cols>
    <col min="1" max="1" width="36.140625" customWidth="1"/>
    <col min="2" max="2" width="12.7109375" customWidth="1"/>
    <col min="3" max="3" width="12" customWidth="1"/>
    <col min="4" max="5" width="14.28515625" customWidth="1"/>
    <col min="6" max="6" width="15.28515625" customWidth="1"/>
    <col min="7" max="7" width="13.5703125" customWidth="1"/>
    <col min="12" max="12" width="17.5703125" customWidth="1"/>
  </cols>
  <sheetData>
    <row r="5" spans="1:13">
      <c r="A5" t="s">
        <v>541</v>
      </c>
      <c r="B5" s="95" t="s">
        <v>543</v>
      </c>
      <c r="C5" s="97" t="s">
        <v>544</v>
      </c>
      <c r="D5" s="95" t="s">
        <v>549</v>
      </c>
      <c r="E5" s="95" t="s">
        <v>550</v>
      </c>
      <c r="F5" s="95" t="s">
        <v>548</v>
      </c>
    </row>
    <row r="6" spans="1:13">
      <c r="C6" s="97"/>
    </row>
    <row r="7" spans="1:13">
      <c r="A7" t="s">
        <v>448</v>
      </c>
      <c r="C7" s="97"/>
      <c r="D7">
        <f>SUM(D8:D10)</f>
        <v>2667315</v>
      </c>
      <c r="E7">
        <f>SUM(E8:E10)</f>
        <v>8001945</v>
      </c>
      <c r="F7">
        <f>SUM(F8:F10)</f>
        <v>32007780</v>
      </c>
      <c r="G7" s="100">
        <f>F7/1000</f>
        <v>32007.78</v>
      </c>
      <c r="L7" t="s">
        <v>614</v>
      </c>
      <c r="M7">
        <v>333.2</v>
      </c>
    </row>
    <row r="8" spans="1:13">
      <c r="A8" s="96" t="s">
        <v>545</v>
      </c>
      <c r="B8">
        <f>29000+6000+3000</f>
        <v>38000</v>
      </c>
      <c r="C8" s="97">
        <v>57.66</v>
      </c>
      <c r="D8">
        <f>B8*C8</f>
        <v>2191080</v>
      </c>
      <c r="E8">
        <f>D8*3</f>
        <v>6573240</v>
      </c>
      <c r="F8">
        <f>D8*12</f>
        <v>26292960</v>
      </c>
      <c r="G8" s="100">
        <f t="shared" ref="G8:G16" si="0">F8/1000</f>
        <v>26292.959999999999</v>
      </c>
      <c r="L8" t="s">
        <v>590</v>
      </c>
      <c r="M8">
        <v>73.2</v>
      </c>
    </row>
    <row r="9" spans="1:13">
      <c r="A9" s="96" t="s">
        <v>546</v>
      </c>
      <c r="B9">
        <v>2000</v>
      </c>
      <c r="C9" s="97">
        <v>60.22</v>
      </c>
      <c r="D9">
        <f t="shared" ref="D9:D12" si="1">B9*C9</f>
        <v>120440</v>
      </c>
      <c r="E9">
        <f t="shared" ref="E9:E14" si="2">D9*3</f>
        <v>361320</v>
      </c>
      <c r="F9">
        <f t="shared" ref="F9:F12" si="3">D9*12</f>
        <v>1445280</v>
      </c>
      <c r="G9" s="100">
        <f t="shared" si="0"/>
        <v>1445.28</v>
      </c>
      <c r="L9" t="s">
        <v>615</v>
      </c>
      <c r="M9">
        <v>599.20000000000005</v>
      </c>
    </row>
    <row r="10" spans="1:13">
      <c r="A10" s="96" t="s">
        <v>547</v>
      </c>
      <c r="B10">
        <v>5500</v>
      </c>
      <c r="C10" s="97">
        <v>64.69</v>
      </c>
      <c r="D10">
        <f t="shared" si="1"/>
        <v>355795</v>
      </c>
      <c r="E10">
        <f t="shared" si="2"/>
        <v>1067385</v>
      </c>
      <c r="F10">
        <f t="shared" si="3"/>
        <v>4269540</v>
      </c>
      <c r="G10" s="100">
        <f t="shared" si="0"/>
        <v>4269.54</v>
      </c>
      <c r="L10" t="s">
        <v>616</v>
      </c>
      <c r="M10" s="264">
        <v>68.400000000000006</v>
      </c>
    </row>
    <row r="11" spans="1:13">
      <c r="A11" s="96"/>
      <c r="C11" s="97"/>
      <c r="M11" s="100">
        <f>SUM(M7:M10)</f>
        <v>1074</v>
      </c>
    </row>
    <row r="12" spans="1:13">
      <c r="A12" t="s">
        <v>449</v>
      </c>
      <c r="B12">
        <v>8500</v>
      </c>
      <c r="C12" s="97">
        <v>7.1</v>
      </c>
      <c r="D12">
        <f t="shared" si="1"/>
        <v>60350</v>
      </c>
      <c r="E12">
        <f t="shared" si="2"/>
        <v>181050</v>
      </c>
      <c r="F12">
        <f t="shared" si="3"/>
        <v>724200</v>
      </c>
      <c r="G12" s="100">
        <f t="shared" si="0"/>
        <v>724.2</v>
      </c>
    </row>
    <row r="13" spans="1:13">
      <c r="C13" s="97"/>
    </row>
    <row r="14" spans="1:13">
      <c r="A14" t="s">
        <v>450</v>
      </c>
      <c r="B14">
        <v>600</v>
      </c>
      <c r="C14" s="97">
        <v>66.680000000000007</v>
      </c>
      <c r="D14">
        <f>C14*B14</f>
        <v>40008.000000000007</v>
      </c>
      <c r="E14">
        <f t="shared" si="2"/>
        <v>120024.00000000003</v>
      </c>
      <c r="F14">
        <f>D14*12</f>
        <v>480096.00000000012</v>
      </c>
      <c r="G14">
        <f t="shared" si="0"/>
        <v>480.09600000000012</v>
      </c>
    </row>
    <row r="15" spans="1:13">
      <c r="B15">
        <f>600*12</f>
        <v>7200</v>
      </c>
      <c r="C15" s="97">
        <v>10.17</v>
      </c>
      <c r="D15">
        <f>B15*C15</f>
        <v>73224</v>
      </c>
    </row>
    <row r="16" spans="1:13">
      <c r="A16" t="s">
        <v>542</v>
      </c>
      <c r="E16">
        <f>F16/4</f>
        <v>268.5</v>
      </c>
      <c r="F16">
        <f>64.8+1009.2</f>
        <v>1074</v>
      </c>
      <c r="G16">
        <f t="shared" si="0"/>
        <v>1.0740000000000001</v>
      </c>
      <c r="I16" t="s">
        <v>605</v>
      </c>
    </row>
    <row r="19" spans="1:7">
      <c r="A19" t="s">
        <v>606</v>
      </c>
      <c r="B19">
        <v>600000</v>
      </c>
      <c r="C19">
        <v>32.700000000000003</v>
      </c>
      <c r="F19" s="100">
        <f>B19*C19</f>
        <v>19620000</v>
      </c>
      <c r="G19">
        <f>F19/1000</f>
        <v>19620</v>
      </c>
    </row>
    <row r="21" spans="1:7">
      <c r="A21" t="str">
        <f>A12</f>
        <v>Від захоронення ТПВ по талонах</v>
      </c>
      <c r="B21">
        <f>B12</f>
        <v>8500</v>
      </c>
      <c r="C21">
        <v>7.13</v>
      </c>
      <c r="F21">
        <f>B21*C21*12</f>
        <v>727260</v>
      </c>
      <c r="G21">
        <f>F21/1000</f>
        <v>727.26</v>
      </c>
    </row>
  </sheetData>
  <pageMargins left="0.7" right="0.7" top="0.75" bottom="0.75" header="0.3" footer="0.3"/>
  <pageSetup paperSize="9" scale="57" orientation="portrait" horizontalDpi="0" verticalDpi="0" r:id="rId1"/>
  <colBreaks count="1" manualBreakCount="1">
    <brk id="11" max="2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Фінплан - зведені показники</vt:lpstr>
      <vt:lpstr>1.Фінансовий результат</vt:lpstr>
      <vt:lpstr>2. Розрахунки з бюджетом</vt:lpstr>
      <vt:lpstr>3. Рух грошових коштів</vt:lpstr>
      <vt:lpstr>4. Кап. інвестиції</vt:lpstr>
      <vt:lpstr>5. Інша інформація</vt:lpstr>
      <vt:lpstr>Перелік посад</vt:lpstr>
      <vt:lpstr>Вих дані</vt:lpstr>
      <vt:lpstr>'1.Фінансовий результат'!Заголовки_для_печати</vt:lpstr>
      <vt:lpstr>'2. Розрахунки з бюджетом'!Заголовки_для_печати</vt:lpstr>
      <vt:lpstr>'3. Рух грошових коштів'!Заголовки_для_печати</vt:lpstr>
      <vt:lpstr>'Фінплан - зведені показники'!Заголовки_для_печати</vt:lpstr>
      <vt:lpstr>'1.Фінансовий результат'!Область_печати</vt:lpstr>
      <vt:lpstr>'2. Розрахунки з бюджетом'!Область_печати</vt:lpstr>
      <vt:lpstr>'3. Рух грошових коштів'!Область_печати</vt:lpstr>
      <vt:lpstr>'4. Кап. інвестиції'!Область_печати</vt:lpstr>
      <vt:lpstr>'5. Інша інформація'!Область_печати</vt:lpstr>
      <vt:lpstr>'Вих дані'!Область_печати</vt:lpstr>
      <vt:lpstr>'Фінплан - зведені показники'!Область_печати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Ekonomist</dc:creator>
  <cp:lastModifiedBy>Jenya</cp:lastModifiedBy>
  <cp:lastPrinted>2017-09-05T04:59:00Z</cp:lastPrinted>
  <dcterms:created xsi:type="dcterms:W3CDTF">2003-03-13T16:00:22Z</dcterms:created>
  <dcterms:modified xsi:type="dcterms:W3CDTF">2017-09-18T06:31:23Z</dcterms:modified>
</cp:coreProperties>
</file>